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9090" tabRatio="651" activeTab="0"/>
  </bookViews>
  <sheets>
    <sheet name="Entrée" sheetId="1" r:id="rId1"/>
    <sheet name="Dimensions" sheetId="2" r:id="rId2"/>
    <sheet name="Etude" sheetId="3" r:id="rId3"/>
    <sheet name="Isolation" sheetId="4" r:id="rId4"/>
    <sheet name="Correction" sheetId="5" r:id="rId5"/>
    <sheet name="Surfaces" sheetId="6" state="veryHidden" r:id="rId6"/>
    <sheet name="Calc_etu" sheetId="7" state="veryHidden" r:id="rId7"/>
    <sheet name="Calc_iso" sheetId="8" state="veryHidden" r:id="rId8"/>
    <sheet name="Calc_cor" sheetId="9" state="veryHidden" r:id="rId9"/>
  </sheets>
  <definedNames>
    <definedName name="_xlnm.Print_Area" localSheetId="6">'Calc_etu'!$A$1:$BQ$125</definedName>
    <definedName name="_xlnm.Print_Area" localSheetId="2">'Etude'!$A$1:$V$142</definedName>
  </definedNames>
  <calcPr fullCalcOnLoad="1"/>
</workbook>
</file>

<file path=xl/comments2.xml><?xml version="1.0" encoding="utf-8"?>
<comments xmlns="http://schemas.openxmlformats.org/spreadsheetml/2006/main">
  <authors>
    <author>Congard</author>
    <author>Jean-Pierre Lafont</author>
  </authors>
  <commentList>
    <comment ref="D15" authorId="0">
      <text>
        <r>
          <rPr>
            <b/>
            <sz val="10"/>
            <rFont val="Tahoma"/>
            <family val="2"/>
          </rPr>
          <t xml:space="preserve">Longueur: </t>
        </r>
        <r>
          <rPr>
            <sz val="9"/>
            <rFont val="Tahoma"/>
            <family val="2"/>
          </rPr>
          <t>Indiquez la plus grande dimension de la pièce.</t>
        </r>
      </text>
    </comment>
    <comment ref="D19" authorId="0">
      <text>
        <r>
          <rPr>
            <b/>
            <sz val="9"/>
            <rFont val="Tahoma"/>
            <family val="2"/>
          </rPr>
          <t xml:space="preserve">Hauteur: </t>
        </r>
        <r>
          <rPr>
            <sz val="9"/>
            <rFont val="Tahoma"/>
            <family val="2"/>
          </rPr>
          <t>Indiquez la plus grande hauteur du plafond.</t>
        </r>
      </text>
    </comment>
    <comment ref="D9" authorId="0">
      <text>
        <r>
          <rPr>
            <b/>
            <sz val="10"/>
            <rFont val="Tahoma"/>
            <family val="2"/>
          </rPr>
          <t xml:space="preserve">Application: </t>
        </r>
        <r>
          <rPr>
            <sz val="9"/>
            <rFont val="Tahoma"/>
            <family val="2"/>
          </rPr>
          <t>Sélectionnez l'application pour chacune des pièces. S'il s'agit d'une pièce d'habitation sans affectation particulière, choisissez hi-fi.</t>
        </r>
      </text>
    </comment>
    <comment ref="D31" authorId="0">
      <text>
        <r>
          <rPr>
            <sz val="9"/>
            <rFont val="Tahoma"/>
            <family val="2"/>
          </rPr>
          <t>Indiquez la hauteur du point le plus bas du plafond. Référez-vous aux dessins 7 à 9.</t>
        </r>
      </text>
    </comment>
    <comment ref="D11" authorId="1">
      <text>
        <r>
          <rPr>
            <b/>
            <sz val="9"/>
            <rFont val="Tahoma"/>
            <family val="2"/>
          </rPr>
          <t>Géométrie:</t>
        </r>
        <r>
          <rPr>
            <sz val="9"/>
            <rFont val="Tahoma"/>
            <family val="2"/>
          </rPr>
          <t xml:space="preserve"> En vous référant au dessins 1 à 5 en bas de page, choisissez la forme qui se rapproche le plus de celle de votre pièce vue de dessus.</t>
        </r>
      </text>
    </comment>
    <comment ref="D13" authorId="1">
      <text>
        <r>
          <rPr>
            <b/>
            <sz val="9"/>
            <rFont val="Tahoma"/>
            <family val="2"/>
          </rPr>
          <t xml:space="preserve">Plafond: </t>
        </r>
        <r>
          <rPr>
            <sz val="9"/>
            <rFont val="Tahoma"/>
            <family val="2"/>
          </rPr>
          <t>Sélectionnez le profil de plafond qui se rapproche le plus à celui de votre pièce en vous référant aux dessins 6 à 9.</t>
        </r>
      </text>
    </comment>
    <comment ref="D21" authorId="1">
      <text>
        <r>
          <rPr>
            <sz val="9"/>
            <rFont val="Tahoma"/>
            <family val="2"/>
          </rPr>
          <t xml:space="preserve">Référez-vous aux dessins 2 à 5 pour indiquer la longueur L1. </t>
        </r>
      </text>
    </comment>
    <comment ref="D23" authorId="1">
      <text>
        <r>
          <rPr>
            <sz val="9"/>
            <rFont val="Tahoma"/>
            <family val="2"/>
          </rPr>
          <t xml:space="preserve">Référez-vous aux dessins 2 à 5 pour indiquer la largeur W1. </t>
        </r>
      </text>
    </comment>
    <comment ref="D25" authorId="1">
      <text>
        <r>
          <rPr>
            <sz val="9"/>
            <rFont val="Tahoma"/>
            <family val="2"/>
          </rPr>
          <t>Indiquez la distance au sol entre le mur le plus bas et la verticale de l'arête du plafond. Référez-vous au dessin N°9.</t>
        </r>
      </text>
    </comment>
    <comment ref="D27" authorId="1">
      <text>
        <r>
          <rPr>
            <sz val="9"/>
            <rFont val="Tahoma"/>
            <family val="2"/>
          </rPr>
          <t>Si la pièce est en trapèze, indiquez la longueur des deux diagonales.</t>
        </r>
      </text>
    </comment>
  </commentList>
</comments>
</file>

<file path=xl/comments3.xml><?xml version="1.0" encoding="utf-8"?>
<comments xmlns="http://schemas.openxmlformats.org/spreadsheetml/2006/main">
  <authors>
    <author>Congard</author>
    <author>JP Lafont</author>
    <author>Jean-Pierre Lafont</author>
  </authors>
  <commentList>
    <comment ref="D9" authorId="0">
      <text>
        <r>
          <rPr>
            <b/>
            <sz val="10"/>
            <rFont val="Tahoma"/>
            <family val="2"/>
          </rPr>
          <t xml:space="preserve">Classe: </t>
        </r>
        <r>
          <rPr>
            <sz val="9"/>
            <rFont val="Tahoma"/>
            <family val="2"/>
          </rPr>
          <t xml:space="preserve">Sélectionnez la classe d'étude qui détermine le choix des modules décrits dans la colonne à droite.
</t>
        </r>
      </text>
    </comment>
    <comment ref="C26" authorId="1">
      <text>
        <r>
          <rPr>
            <sz val="9"/>
            <rFont val="Tahoma"/>
            <family val="2"/>
          </rPr>
          <t>Cette section concerne l'étude d'isolement des locaux. 
Elle détermine les parois séparatives ou de doublage, en fonction du niveau d'émission sonore et des performances à atteindre. 
Elle inclut la description et le tracé des parois et, suivant la formule choisie, les instructions utiles aux entreprises qui réaliseront la construction.</t>
        </r>
      </text>
    </comment>
    <comment ref="C48" authorId="1">
      <text>
        <r>
          <rPr>
            <sz val="9"/>
            <rFont val="Tahoma"/>
            <family val="2"/>
          </rPr>
          <t>Les plans de détail rassemblent, les dessins, les descriptifs, la méthode d'assemblage et de mise en œuvre d'un type de paroi ou d'un élément d'isolation. Ils sont élaborés à la demande en fonction des contraintes spécifiques du projet.
Il n'est pas nécessaire de cocher les plans de détail quand les travaux sont effectués par une entreprise spécialisée dans l'isolation acoustique car les plans d'ensemble contiennent suffisamment d'informations.
Par contre, si vous avez recours à une entreprise générale du bâtiment, ou si vous faîtes les travaux vous-même, ces plans sauront vous guider et vous éviteront de commettre des erreurs.</t>
        </r>
      </text>
    </comment>
    <comment ref="C63" authorId="1">
      <text>
        <r>
          <rPr>
            <sz val="9"/>
            <rFont val="Tahoma"/>
            <family val="2"/>
          </rPr>
          <t>La correction concerne l'étude du comportement des sons à l'inérieur du local. Elle détermine l'agencement intérieur pour que les paramètres acoustiques, tels l'intelligibilité, la définition, la clarté, l'absence de résonances ou d'échos soient respectés.</t>
        </r>
      </text>
    </comment>
    <comment ref="C72" authorId="1">
      <text>
        <r>
          <rPr>
            <sz val="9"/>
            <rFont val="Tahoma"/>
            <family val="2"/>
          </rPr>
          <t>Cette option inclut les plans et les instructions pour construire la structure désolidarisée qui supportera les enceintes encastrées d'une régie d'enregistrement ou de mixage.
Les documents personalisés sont très détaillés et se présentent en 5 ou 6 planches au format A1 (800x560mm).
Ne pas cocher cette option si vous envisagez d'acquérir une structure pré-montée.</t>
        </r>
      </text>
    </comment>
    <comment ref="C76" authorId="1">
      <text>
        <r>
          <rPr>
            <sz val="9"/>
            <rFont val="Tahoma"/>
            <family val="2"/>
          </rPr>
          <t>La modélisation de ce type d'image haute définition est gourmande en heures de travail, ce qui en fait une option onéreuse. Vérifiez l'incidence sur le coût global avant de confirmer cette option.</t>
        </r>
      </text>
    </comment>
    <comment ref="C102" authorId="1">
      <text>
        <r>
          <rPr>
            <sz val="9"/>
            <rFont val="Tahoma"/>
            <family val="2"/>
          </rPr>
          <t>Définit le placement optimal des enceintes dans un local d'écoute en fonction des contraintes physiques imposées. Un placement correct apporte une amélioration considérable des performances du système d'écoute.</t>
        </r>
      </text>
    </comment>
    <comment ref="C134" authorId="1">
      <text>
        <r>
          <rPr>
            <sz val="9"/>
            <rFont val="Tahoma"/>
            <family val="2"/>
          </rPr>
          <t>Les visites de chantier ne sont pas imposées.
Leur nombre n'est pas limité.
Le coût de l'option n'est applicable que pour la région Parisienne (50km),
Une cotation spécifique existe pour les déplacements en Province ou à l'étranger (nous consulter).</t>
        </r>
      </text>
    </comment>
    <comment ref="C43" authorId="1">
      <text>
        <r>
          <rPr>
            <sz val="9"/>
            <rFont val="Tahoma"/>
            <family val="2"/>
          </rPr>
          <t>Cette option est confondue avec le plan de correction (quand l'option est retenue).</t>
        </r>
      </text>
    </comment>
    <comment ref="C67" authorId="1">
      <text>
        <r>
          <rPr>
            <sz val="9"/>
            <rFont val="Tahoma"/>
            <family val="2"/>
          </rPr>
          <t>Cette option est confondue avec le plan d'isolation (quand l'option est retenue).</t>
        </r>
      </text>
    </comment>
    <comment ref="C44" authorId="1">
      <text>
        <r>
          <rPr>
            <sz val="9"/>
            <rFont val="Tahoma"/>
            <family val="2"/>
          </rPr>
          <t>Cette option est confondue avec le plan de correction (quand l'option est retenue)</t>
        </r>
      </text>
    </comment>
    <comment ref="C68" authorId="1">
      <text>
        <r>
          <rPr>
            <sz val="9"/>
            <rFont val="Tahoma"/>
            <family val="2"/>
          </rPr>
          <t>Cette option est confondue avec le plan d'isolation (quand l'option est retenue).</t>
        </r>
      </text>
    </comment>
    <comment ref="C27" authorId="2">
      <text>
        <r>
          <rPr>
            <sz val="9"/>
            <rFont val="Tahoma"/>
            <family val="2"/>
          </rPr>
          <t xml:space="preserve">Certaines situations ne nécessitent pas de travaux d'isolation, soit parce que l'isolement est déjà suffisant ou parce que les locaux sont éloignés du voisinage. Vous pouvez  désactiver le module </t>
        </r>
        <r>
          <rPr>
            <b/>
            <sz val="9"/>
            <rFont val="Tahoma"/>
            <family val="2"/>
          </rPr>
          <t>isolation</t>
        </r>
        <r>
          <rPr>
            <sz val="9"/>
            <rFont val="Tahoma"/>
            <family val="2"/>
          </rPr>
          <t xml:space="preserve"> en cochant la case appropriée.</t>
        </r>
      </text>
    </comment>
    <comment ref="C56" authorId="2">
      <text>
        <r>
          <rPr>
            <sz val="9"/>
            <rFont val="Tahoma"/>
            <family val="2"/>
          </rPr>
          <t>Pose des plots en applique, luminaires et spots d'éclairage, passages de cloison.</t>
        </r>
      </text>
    </comment>
    <comment ref="C57" authorId="2">
      <text>
        <r>
          <rPr>
            <sz val="9"/>
            <rFont val="Tahoma"/>
            <family val="2"/>
          </rPr>
          <t>Installation des gaines de ventilation, souples ou rigides, passages de cloison, grilles et pots silencieux (piège à sons).</t>
        </r>
      </text>
    </comment>
    <comment ref="C58" authorId="2">
      <text>
        <r>
          <rPr>
            <sz val="9"/>
            <rFont val="Tahoma"/>
            <family val="2"/>
          </rPr>
          <t>Trappe d'accès aux regards des canalisations, contrôles techniques, sécurité.</t>
        </r>
      </text>
    </comment>
    <comment ref="C59" authorId="2">
      <text>
        <r>
          <rPr>
            <sz val="9"/>
            <rFont val="Tahoma"/>
            <family val="2"/>
          </rPr>
          <t>Plan de détail pour le contournement d'une poutre, d'un sas de ventilation, d'une estrade.</t>
        </r>
      </text>
    </comment>
    <comment ref="C60" authorId="2">
      <text>
        <r>
          <rPr>
            <sz val="9"/>
            <rFont val="Tahoma"/>
            <family val="2"/>
          </rPr>
          <t>Cahier de clauses restrictives à respecter par les entreprises de construction. Etabli en plusieurs exemplaires et signé par les entreprises intervenantes, ce document couvre le client contre les malfaçons et les erreurs d'interprétation des plans.</t>
        </r>
      </text>
    </comment>
    <comment ref="C52" authorId="2">
      <text>
        <r>
          <rPr>
            <sz val="9"/>
            <rFont val="Tahoma"/>
            <family val="2"/>
          </rPr>
          <t>Plafond lourd désolidarisé, autoportant ou suspendu.</t>
        </r>
      </text>
    </comment>
    <comment ref="C49" authorId="2">
      <text>
        <r>
          <rPr>
            <sz val="9"/>
            <rFont val="Tahoma"/>
            <family val="2"/>
          </rPr>
          <t>Plan de construction d'une chape sèche ou d'une dalle en béton, désolidarisée sur plots ou ressorts, avec le calepinage des supports.</t>
        </r>
      </text>
    </comment>
    <comment ref="C71" authorId="2">
      <text>
        <r>
          <rPr>
            <sz val="9"/>
            <rFont val="Tahoma"/>
            <family val="2"/>
          </rPr>
          <t>Plan de détail des absorbeurs de fréquences graves (basstraps) quand ceux-ci sont intégrés dans la construction.</t>
        </r>
      </text>
    </comment>
    <comment ref="C74" authorId="2">
      <text>
        <r>
          <rPr>
            <sz val="9"/>
            <rFont val="Tahoma"/>
            <family val="2"/>
          </rPr>
          <t>Cette option inclut les plans et les instructions pour construire la structure désolidarisée qui supportera les enceintes encastrées d'un home cinéma (mur THX) avec ou sans proscenium.
Ne pas cocher cette option si vous envisagez d'acquérir une structure pré-montée.</t>
        </r>
      </text>
    </comment>
    <comment ref="C130" authorId="2">
      <text>
        <r>
          <rPr>
            <sz val="9"/>
            <rFont val="Tahoma"/>
            <family val="2"/>
          </rPr>
          <t>Visite des lieux, étude de faisabilité, relevé des cotes dimensionnelles, photos.</t>
        </r>
      </text>
    </comment>
    <comment ref="C131" authorId="2">
      <text>
        <r>
          <rPr>
            <sz val="9"/>
            <rFont val="Tahoma"/>
            <family val="2"/>
          </rPr>
          <t>Visite des lieux, étude de faisabilité, relevé des cotes dimensionnelles, photos.
Mesurage de l'isolement avec les locaux mitoyens, fourniture d'un rapport.
Cette option est conseillée en cas de litige possible et nécessaire quand une garantie de résultat est demandée.</t>
        </r>
      </text>
    </comment>
    <comment ref="C136" authorId="2">
      <text>
        <r>
          <rPr>
            <sz val="9"/>
            <rFont val="Tahoma"/>
            <family val="2"/>
          </rPr>
          <t>Mesurage de l'isolement avec les locaux mitoyens, après travaux.
Fourniture d'un rapport accompagné d'un certificat d'isolement.</t>
        </r>
      </text>
    </comment>
    <comment ref="A64" authorId="2">
      <text>
        <r>
          <rPr>
            <sz val="9"/>
            <rFont val="Tahoma"/>
            <family val="2"/>
          </rPr>
          <t xml:space="preserve">La correction acoustique n'est pas nécessaire quand les locaux ne sont pas destinés à l'écoute ou la production de sons. C'est le cas des bureaux, cabinets de médecins ou d'avocats, ateliers, abris de machines.
Vous pouvez désactiver le module </t>
        </r>
        <r>
          <rPr>
            <b/>
            <sz val="9"/>
            <rFont val="Tahoma"/>
            <family val="2"/>
          </rPr>
          <t>correction</t>
        </r>
        <r>
          <rPr>
            <sz val="9"/>
            <rFont val="Tahoma"/>
            <family val="2"/>
          </rPr>
          <t xml:space="preserve"> en cochant la case appropriée.</t>
        </r>
      </text>
    </comment>
  </commentList>
</comments>
</file>

<file path=xl/comments4.xml><?xml version="1.0" encoding="utf-8"?>
<comments xmlns="http://schemas.openxmlformats.org/spreadsheetml/2006/main">
  <authors>
    <author>Congard</author>
  </authors>
  <commentList>
    <comment ref="C9" authorId="0">
      <text>
        <r>
          <rPr>
            <b/>
            <sz val="10"/>
            <rFont val="Tahoma"/>
            <family val="2"/>
          </rPr>
          <t xml:space="preserve">Doublage 1  </t>
        </r>
        <r>
          <rPr>
            <sz val="10"/>
            <color indexed="16"/>
            <rFont val="Tahoma"/>
            <family val="2"/>
          </rPr>
          <t>Applications domestiques - Home cinéma</t>
        </r>
        <r>
          <rPr>
            <sz val="8"/>
            <rFont val="Tahoma"/>
            <family val="0"/>
          </rPr>
          <t xml:space="preserve">
</t>
        </r>
        <r>
          <rPr>
            <sz val="9"/>
            <rFont val="Tahoma"/>
            <family val="2"/>
          </rPr>
          <t xml:space="preserve">Système désolidarisé en appui sur le plancher flottant sans contact avec les murs.
Ossature Placostil 70 mm sur semelle souple étanche.
Amortissement du plénum par deux laines de roche haute densité 2x75 mm. 
Parement: sandwich 2 épaisseurs (2x13mm).
Jointoiement individuel des couches (pose croisée).
Affaiblissement Rw sur mur en parpaing creux de 20cm: 68dB.
</t>
        </r>
        <r>
          <rPr>
            <b/>
            <sz val="9"/>
            <rFont val="Tahoma"/>
            <family val="2"/>
          </rPr>
          <t>Doublage 2</t>
        </r>
        <r>
          <rPr>
            <sz val="9"/>
            <rFont val="Tahoma"/>
            <family val="2"/>
          </rPr>
          <t xml:space="preserve">  </t>
        </r>
        <r>
          <rPr>
            <sz val="9"/>
            <color indexed="16"/>
            <rFont val="Tahoma"/>
            <family val="2"/>
          </rPr>
          <t xml:space="preserve">Applications professionnelles - Studio d'enregistrement
</t>
        </r>
        <r>
          <rPr>
            <sz val="9"/>
            <rFont val="Tahoma"/>
            <family val="2"/>
          </rPr>
          <t>Système désolidarisé en appui sur le plancher flottant sans contact avec les murs.
Ossature Placostil 90 mm sur semelle souple étanche.
Amortissement en laine de roche haute densité 2x75 mm.
Parement: sandwich 3 épaisseurs (18/13/13).
Jointoiement individuel des couches (pose croisée).
Affaiblissement Rw sur mur en parpaing creux de 20cm : 76dB.</t>
        </r>
      </text>
    </comment>
    <comment ref="C11" authorId="0">
      <text>
        <r>
          <rPr>
            <b/>
            <sz val="10"/>
            <rFont val="Tahoma"/>
            <family val="2"/>
          </rPr>
          <t>Chape sèche :</t>
        </r>
        <r>
          <rPr>
            <sz val="9"/>
            <rFont val="Tahoma"/>
            <family val="2"/>
          </rPr>
          <t xml:space="preserve">
Plancher désolidarisé en triple sandwich, panneaux bouvetés et masse élastique, posée sur plots antivibratiles et laine minérale 30mm.
Masse surfacique : 40kg/m² + ( parement décoratif).
</t>
        </r>
        <r>
          <rPr>
            <b/>
            <sz val="10"/>
            <rFont val="Tahoma"/>
            <family val="2"/>
          </rPr>
          <t>Dalle flottante :</t>
        </r>
        <r>
          <rPr>
            <sz val="9"/>
            <rFont val="Tahoma"/>
            <family val="2"/>
          </rPr>
          <t xml:space="preserve">
Dalle en béton armé, épaisseur 8 à 12cm, coulée sur coffrage perdu,
appui sur plot antivibratiles 8Hz et laine minérale haute densité.
Masse surfacique : 200 à 240kg/m².</t>
        </r>
      </text>
    </comment>
    <comment ref="C13" authorId="0">
      <text>
        <r>
          <rPr>
            <b/>
            <sz val="10"/>
            <rFont val="Tahoma"/>
            <family val="2"/>
          </rPr>
          <t xml:space="preserve">Arêtes verticales: </t>
        </r>
        <r>
          <rPr>
            <sz val="10"/>
            <color indexed="16"/>
            <rFont val="Tahoma"/>
            <family val="2"/>
          </rPr>
          <t>indiquez le nombre</t>
        </r>
        <r>
          <rPr>
            <b/>
            <sz val="9"/>
            <rFont val="Tahoma"/>
            <family val="2"/>
          </rPr>
          <t xml:space="preserve">
</t>
        </r>
        <r>
          <rPr>
            <sz val="9"/>
            <rFont val="Tahoma"/>
            <family val="2"/>
          </rPr>
          <t>Comptez 4 arêtes pour une pièce rectangulaire, ajoutez 2 arêtes pour contourner une colonne ou une cheminée, etc.
L'illustration à droite de la page, montre un local avec 8 arêtes
(colorées en rouge).</t>
        </r>
      </text>
    </comment>
    <comment ref="C15" authorId="0">
      <text>
        <r>
          <rPr>
            <b/>
            <sz val="9"/>
            <rFont val="Tahoma"/>
            <family val="2"/>
          </rPr>
          <t>Portes:</t>
        </r>
        <r>
          <rPr>
            <sz val="9"/>
            <color indexed="16"/>
            <rFont val="Tahoma"/>
            <family val="2"/>
          </rPr>
          <t xml:space="preserve"> 
Indiquez le nombre de portes pour la pièce.</t>
        </r>
        <r>
          <rPr>
            <sz val="9"/>
            <rFont val="Tahoma"/>
            <family val="2"/>
          </rPr>
          <t xml:space="preserve">
Porte isophonique 38 ou 42dB montée sur le doublage. Vantail renforcé avec joint périphérique, crémone 3 points et seuil suisse.
Masse moyenne 70 à 90kg.</t>
        </r>
      </text>
    </comment>
    <comment ref="C17" authorId="0">
      <text>
        <r>
          <rPr>
            <b/>
            <sz val="10"/>
            <rFont val="Tahoma"/>
            <family val="2"/>
          </rPr>
          <t>Chassis fixe:</t>
        </r>
        <r>
          <rPr>
            <sz val="9"/>
            <rFont val="Tahoma"/>
            <family val="2"/>
          </rPr>
          <t xml:space="preserve">
</t>
        </r>
        <r>
          <rPr>
            <sz val="9"/>
            <color indexed="16"/>
            <rFont val="Tahoma"/>
            <family val="2"/>
          </rPr>
          <t>Une fenêtre mitoyenne comprend deux châssis indépendants.
Comptez un châssis par pièce.</t>
        </r>
        <r>
          <rPr>
            <sz val="9"/>
            <rFont val="Tahoma"/>
            <family val="2"/>
          </rPr>
          <t xml:space="preserve">
Vitrage monolithique ou feuilleté, monté souple sur cadre étanche. Traitement absorbant de la cavité.
Le prix varie avec les dimensions. Base pour le calcul : 150 x 100cm
Masse : 35 à 50kg/m² et par châssis.</t>
        </r>
      </text>
    </comment>
    <comment ref="C19" authorId="0">
      <text>
        <r>
          <rPr>
            <b/>
            <sz val="9"/>
            <rFont val="Tahoma"/>
            <family val="2"/>
          </rPr>
          <t>Trappe de visite:</t>
        </r>
        <r>
          <rPr>
            <sz val="9"/>
            <color indexed="16"/>
            <rFont val="Tahoma"/>
            <family val="2"/>
          </rPr>
          <t xml:space="preserve"> Indiquez le nombre</t>
        </r>
        <r>
          <rPr>
            <sz val="9"/>
            <rFont val="Tahoma"/>
            <family val="2"/>
          </rPr>
          <t xml:space="preserve">
Permet la visite techniques des conduites, canalisations ou équipements, dissimulés derrière le doublage.
Panneau en sandwich, vissé sur l'ossature métallique primaire.
Le prix varie avec les dimensions. Base pour le calcul: 60x60cm</t>
        </r>
      </text>
    </comment>
    <comment ref="C21" authorId="0">
      <text>
        <r>
          <rPr>
            <b/>
            <sz val="9"/>
            <rFont val="Tahoma"/>
            <family val="2"/>
          </rPr>
          <t xml:space="preserve">Soffit: </t>
        </r>
        <r>
          <rPr>
            <sz val="9"/>
            <rFont val="Tahoma"/>
            <family val="2"/>
          </rPr>
          <t xml:space="preserve">
Coffrage horizontal servant à dissimuler une gaine ou une poutre.
</t>
        </r>
        <r>
          <rPr>
            <i/>
            <sz val="9"/>
            <color indexed="10"/>
            <rFont val="Tahoma"/>
            <family val="2"/>
          </rPr>
          <t>Indiquez la longueur du coffrage.</t>
        </r>
        <r>
          <rPr>
            <sz val="9"/>
            <rFont val="Tahoma"/>
            <family val="2"/>
          </rPr>
          <t xml:space="preserve">
Additionnez les longueurs si la pièce comporte plusieurs soffits.</t>
        </r>
      </text>
    </comment>
    <comment ref="C23" authorId="0">
      <text>
        <r>
          <rPr>
            <b/>
            <sz val="9"/>
            <rFont val="Tahoma"/>
            <family val="2"/>
          </rPr>
          <t xml:space="preserve">Estrade: 
</t>
        </r>
        <r>
          <rPr>
            <i/>
            <sz val="9"/>
            <color indexed="10"/>
            <rFont val="Tahoma"/>
            <family val="2"/>
          </rPr>
          <t>Indiquez la longueur</t>
        </r>
        <r>
          <rPr>
            <sz val="9"/>
            <rFont val="Tahoma"/>
            <family val="2"/>
          </rPr>
          <t xml:space="preserve"> (la largeur étant celle de la pièce).
Surélévation du plancher, fréquente dans les régies et les home cinémas,
Construction: Plancher lourd, désolidarisé et monté sur plots antivibratiles. Peut abriter une partie du câblage et des gaines de ventilation.</t>
        </r>
      </text>
    </comment>
    <comment ref="C25" authorId="0">
      <text>
        <r>
          <rPr>
            <b/>
            <sz val="10"/>
            <rFont val="Tahoma"/>
            <family val="2"/>
          </rPr>
          <t>Electricité (première partie):</t>
        </r>
        <r>
          <rPr>
            <sz val="9"/>
            <rFont val="Tahoma"/>
            <family val="2"/>
          </rPr>
          <t xml:space="preserve">
Le percement du doublage pour encastrer les prises et les interrupteurs est interdit. Les passages des câbles sont intégrés dans le doublage (cochez la case) ou logés dans des goulottes montées en saillie.
La distribution s'effectue sur 2 ou 3 réseaux distincts pour l'éclairage, l'électronique et les servitudes.
Pour le calcul, nous avons retenu 6 passages de câbles.</t>
        </r>
      </text>
    </comment>
    <comment ref="C39" authorId="0">
      <text>
        <r>
          <rPr>
            <b/>
            <sz val="10"/>
            <rFont val="Tahoma"/>
            <family val="2"/>
          </rPr>
          <t>Surface utile:</t>
        </r>
        <r>
          <rPr>
            <sz val="9"/>
            <rFont val="Tahoma"/>
            <family val="2"/>
          </rPr>
          <t xml:space="preserve">
Surface disponible au sol, épaisseur du doublage déduite.</t>
        </r>
      </text>
    </comment>
    <comment ref="C41" authorId="0">
      <text>
        <r>
          <rPr>
            <b/>
            <sz val="10"/>
            <rFont val="Tahoma"/>
            <family val="2"/>
          </rPr>
          <t>Surface des murs:</t>
        </r>
        <r>
          <rPr>
            <sz val="9"/>
            <rFont val="Tahoma"/>
            <family val="2"/>
          </rPr>
          <t xml:space="preserve">
Surface utile des parois verticales après la pose du doublage.</t>
        </r>
      </text>
    </comment>
    <comment ref="C43" authorId="0">
      <text>
        <r>
          <rPr>
            <b/>
            <sz val="10"/>
            <rFont val="Tahoma"/>
            <family val="2"/>
          </rPr>
          <t>Surface d'absorption:</t>
        </r>
        <r>
          <rPr>
            <sz val="9"/>
            <rFont val="Tahoma"/>
            <family val="2"/>
          </rPr>
          <t xml:space="preserve">
Surface développée du sol, des murs et du plafond. Correspond à la surface d'absorption de la pièce vide.</t>
        </r>
      </text>
    </comment>
    <comment ref="C46" authorId="0">
      <text>
        <r>
          <rPr>
            <b/>
            <sz val="10"/>
            <rFont val="Tahoma"/>
            <family val="2"/>
          </rPr>
          <t>Isolation :</t>
        </r>
        <r>
          <rPr>
            <sz val="9"/>
            <rFont val="Tahoma"/>
            <family val="2"/>
          </rPr>
          <t xml:space="preserve">
Estimation du coût de construction de la coque isophonique seule.
Cette partie ne comprend pas les finitions, peintures, revêtements mureaux, parquet, moquette, plinthes, plafond suspendu, correction acoustique, câblage électrique et électronique.
Elle n'inclut pas non plus les services d'un expert pour l'étude, le suivi du chantier ou les mesures acoustiques (se reporter aux pages spécifiques).</t>
        </r>
      </text>
    </comment>
    <comment ref="C54" authorId="0">
      <text>
        <r>
          <rPr>
            <b/>
            <sz val="10"/>
            <rFont val="Tahoma"/>
            <family val="2"/>
          </rPr>
          <t>Revêtements:</t>
        </r>
        <r>
          <rPr>
            <sz val="9"/>
            <rFont val="Tahoma"/>
            <family val="2"/>
          </rPr>
          <t xml:space="preserve">
Peinture des parois verticales : deux couches d'enduit, un primaire et deux couches de finition.
Alternativement, un tissu acoustique mural peut être proposé. Pose tapissier, tendu sur molleton et baguettes,
Peinture des portes, châssis de fenêtres et des plinthes incluse.
La peinture du plafond (généralement caché par le traitement acoustique) n'est pas comprise.</t>
        </r>
      </text>
    </comment>
    <comment ref="C56" authorId="0">
      <text>
        <r>
          <rPr>
            <b/>
            <sz val="9"/>
            <rFont val="Tahoma"/>
            <family val="2"/>
          </rPr>
          <t>Plafond suspendu :</t>
        </r>
        <r>
          <rPr>
            <sz val="9"/>
            <rFont val="Tahoma"/>
            <family val="2"/>
          </rPr>
          <t xml:space="preserve">
Plafond acoustique à fort pouvoir absorbant. Réduit l'excès de réverbération même aux basses fréquences et supprime les réflexions verticales.
Permet d'encastrer l'éclairage et de dissimuler les gaines de climatisations, le câblage et les systèmes de sécurité.
Ossature métallique et dalles Akustex.
Couleur blanc ou noir. Epaisseur 10 à 50cm selon étude.</t>
        </r>
      </text>
    </comment>
    <comment ref="C58" authorId="0">
      <text>
        <r>
          <rPr>
            <b/>
            <sz val="10"/>
            <rFont val="Tahoma"/>
            <family val="2"/>
          </rPr>
          <t>Parquet</t>
        </r>
        <r>
          <rPr>
            <b/>
            <sz val="9"/>
            <rFont val="Tahoma"/>
            <family val="2"/>
          </rPr>
          <t>:</t>
        </r>
        <r>
          <rPr>
            <sz val="9"/>
            <rFont val="Tahoma"/>
            <family val="2"/>
          </rPr>
          <t xml:space="preserve">
Parquet mécanique en bois massif sur panneau de particules avec sous couche résiliente.
Alternativement, une moquette peut être proposée.</t>
        </r>
      </text>
    </comment>
    <comment ref="C60" authorId="0">
      <text>
        <r>
          <rPr>
            <b/>
            <sz val="10"/>
            <rFont val="Tahoma"/>
            <family val="2"/>
          </rPr>
          <t>Electricité, (deuxième partie) :</t>
        </r>
        <r>
          <rPr>
            <sz val="9"/>
            <rFont val="Tahoma"/>
            <family val="2"/>
          </rPr>
          <t xml:space="preserve">
Fourniture et pose d'un réseau de spots halogènes avec intérupteurs ou gradateurs et d'un réseau de prises de courant 10/16A. 
Montage des éléments (prises, inters, goulottes), en applique.</t>
        </r>
      </text>
    </comment>
    <comment ref="C62" authorId="0">
      <text>
        <r>
          <rPr>
            <b/>
            <sz val="10"/>
            <rFont val="Tahoma"/>
            <family val="2"/>
          </rPr>
          <t>Gaines :</t>
        </r>
        <r>
          <rPr>
            <sz val="9"/>
            <rFont val="Tahoma"/>
            <family val="2"/>
          </rPr>
          <t xml:space="preserve">
Passages pour câbles audio et vidéo entre les locaux insonorisés.
Le câblage est les tableaux de branchement ne sont pas fournis.</t>
        </r>
      </text>
    </comment>
    <comment ref="C64" authorId="0">
      <text>
        <r>
          <rPr>
            <b/>
            <sz val="10"/>
            <rFont val="Tahoma"/>
            <family val="2"/>
          </rPr>
          <t>Ventilation mécanique contrôlée :</t>
        </r>
        <r>
          <rPr>
            <sz val="9"/>
            <rFont val="Tahoma"/>
            <family val="2"/>
          </rPr>
          <t xml:space="preserve">
Gaines thermiques souples en aluminium et laine minérale. Réseau en étoile. Caisson VMC commun avec 1 commande murale.
</t>
        </r>
        <r>
          <rPr>
            <sz val="9"/>
            <color indexed="16"/>
            <rFont val="Tahoma"/>
            <family val="2"/>
          </rPr>
          <t>Cochez cette case si vous ne prévoyez pas de climatisation.</t>
        </r>
      </text>
    </comment>
    <comment ref="C66" authorId="0">
      <text>
        <r>
          <rPr>
            <b/>
            <sz val="10"/>
            <rFont val="Tahoma"/>
            <family val="2"/>
          </rPr>
          <t>Climatisation :</t>
        </r>
        <r>
          <rPr>
            <sz val="9"/>
            <rFont val="Tahoma"/>
            <family val="2"/>
          </rPr>
          <t xml:space="preserve">
Système silencieux à air ou par refroidissement à eau, suivant la configuration.
Réseau de gaines thermiques en aluminium et laine minérale couplé avec la ventilation. Distribution en étoile, réglable par un système de volets télécommandés.
Pose des gaines en même temps que le doublage des parois.</t>
        </r>
      </text>
    </comment>
    <comment ref="C74" authorId="0">
      <text>
        <r>
          <rPr>
            <b/>
            <sz val="9"/>
            <rFont val="Tahoma"/>
            <family val="2"/>
          </rPr>
          <t>Estimation du coût avec options:</t>
        </r>
        <r>
          <rPr>
            <sz val="9"/>
            <rFont val="Tahoma"/>
            <family val="2"/>
          </rPr>
          <t xml:space="preserve">
Estimation du coût de l'insonorisation des locaux, incluant les options retenues.
Toutefois, la correction acoustique et les prestations d'étude, de suivi et d'expertise ne sont pas incluses (voir pages spécifiques).</t>
        </r>
      </text>
    </comment>
    <comment ref="C33" authorId="0">
      <text>
        <r>
          <rPr>
            <b/>
            <sz val="10"/>
            <rFont val="Tahoma"/>
            <family val="2"/>
          </rPr>
          <t xml:space="preserve">Longueur, largeur:
</t>
        </r>
        <r>
          <rPr>
            <sz val="10"/>
            <rFont val="Tahoma"/>
            <family val="2"/>
          </rPr>
          <t>Si la pièce est en forme de L, ou si les murs sont orientés, prenez la longueur ou la largeur moyenne de façon à ce que le produit longueur x largeur corresponde à la surface réelle.</t>
        </r>
      </text>
    </comment>
    <comment ref="C37" authorId="0">
      <text>
        <r>
          <rPr>
            <b/>
            <sz val="10"/>
            <rFont val="Tahoma"/>
            <family val="2"/>
          </rPr>
          <t xml:space="preserve">Hauteur du plafond:
</t>
        </r>
        <r>
          <rPr>
            <sz val="10"/>
            <rFont val="Tahoma"/>
            <family val="2"/>
          </rPr>
          <t>Utilisez toute la hauteur disponible en prévision du traitement acoustique à venir.
Pour les plafonds inclinés, prenez la hauteur moyenne comme base de calcul.</t>
        </r>
      </text>
    </comment>
    <comment ref="C28" authorId="0">
      <text>
        <r>
          <rPr>
            <b/>
            <sz val="9"/>
            <rFont val="Tahoma"/>
            <family val="2"/>
          </rPr>
          <t xml:space="preserve">Madex: 
</t>
        </r>
        <r>
          <rPr>
            <sz val="9"/>
            <rFont val="Tahoma"/>
            <family val="2"/>
          </rPr>
          <t>Insersion d'une masse visco-élastique dans les cloisons de doublage (10kg/m², gain : 8dB).</t>
        </r>
      </text>
    </comment>
    <comment ref="C30" authorId="0">
      <text>
        <r>
          <rPr>
            <b/>
            <sz val="9"/>
            <rFont val="Tahoma"/>
            <family val="2"/>
          </rPr>
          <t xml:space="preserve">Green Glue:
</t>
        </r>
        <r>
          <rPr>
            <sz val="9"/>
            <rFont val="Tahoma"/>
            <family val="2"/>
          </rPr>
          <t xml:space="preserve">Inclusion d'un amortisseur dans le doublage de toutes les parois (murs, plafond, plancher). 
Produit écologique, ininflammable.
Gain 6 à 10dB selon la fréquence.
</t>
        </r>
      </text>
    </comment>
  </commentList>
</comments>
</file>

<file path=xl/comments5.xml><?xml version="1.0" encoding="utf-8"?>
<comments xmlns="http://schemas.openxmlformats.org/spreadsheetml/2006/main">
  <authors>
    <author>Congard</author>
  </authors>
  <commentList>
    <comment ref="C29" authorId="0">
      <text>
        <r>
          <rPr>
            <b/>
            <sz val="10"/>
            <rFont val="Tahoma"/>
            <family val="2"/>
          </rPr>
          <t>Plafond acoustique suspendu</t>
        </r>
        <r>
          <rPr>
            <sz val="9"/>
            <rFont val="Tahoma"/>
            <family val="2"/>
          </rPr>
          <t xml:space="preserve"> sur ossature métallique.
Constitue une solution efficace pour contrôler la réverbération.
Permet de supporter des diffuseurs et d'encaster l'éclairage et de dissimuler les gaines de ventilation.
Couleur blanc ou noir. Epaisseur 10 à 50cm selon étude.
Le prix inclut la pose.
Cette option n'est pas compatible avec la classe Platinum qui inclut une autre solution.</t>
        </r>
      </text>
    </comment>
    <comment ref="C33" authorId="0">
      <text>
        <r>
          <rPr>
            <b/>
            <sz val="10"/>
            <rFont val="Tahoma"/>
            <family val="2"/>
          </rPr>
          <t>Pose:</t>
        </r>
        <r>
          <rPr>
            <sz val="9"/>
            <rFont val="Tahoma"/>
            <family val="2"/>
          </rPr>
          <t xml:space="preserve">
Cette option comprend l'installation ou la pose des éléments de correction, la fourniture des accessoires de pose et le transport.
</t>
        </r>
        <r>
          <rPr>
            <i/>
            <sz val="9"/>
            <rFont val="Tahoma"/>
            <family val="2"/>
          </rPr>
          <t>Remarque : La pose des tissus tendus appartient au poste peinture du module isolation.</t>
        </r>
      </text>
    </comment>
    <comment ref="C31" authorId="0">
      <text>
        <r>
          <rPr>
            <b/>
            <sz val="9"/>
            <rFont val="Tahoma"/>
            <family val="2"/>
          </rPr>
          <t>Mur de façade :</t>
        </r>
        <r>
          <rPr>
            <sz val="9"/>
            <rFont val="Tahoma"/>
            <family val="2"/>
          </rPr>
          <t xml:space="preserve">
Cette option s'adresse aux applications </t>
        </r>
        <r>
          <rPr>
            <sz val="9"/>
            <color indexed="16"/>
            <rFont val="Tahoma"/>
            <family val="2"/>
          </rPr>
          <t>Home cinéma et Régie</t>
        </r>
        <r>
          <rPr>
            <sz val="9"/>
            <rFont val="Tahoma"/>
            <family val="2"/>
          </rPr>
          <t>.
Elle n'est proposée qu'avec les classes Silver et Gold seulement.
Elle est impossible avec Ruby.
Elle est systématiquement incluse avec Platinum.
Elle ne s'applique pas aux cabines de prise.</t>
        </r>
      </text>
    </comment>
    <comment ref="D9" authorId="0">
      <text>
        <r>
          <rPr>
            <b/>
            <sz val="10"/>
            <rFont val="Tahoma"/>
            <family val="2"/>
          </rPr>
          <t>Classes :</t>
        </r>
        <r>
          <rPr>
            <b/>
            <sz val="9"/>
            <rFont val="Tahoma"/>
            <family val="2"/>
          </rPr>
          <t xml:space="preserve">
</t>
        </r>
        <r>
          <rPr>
            <sz val="9"/>
            <rFont val="Tahoma"/>
            <family val="2"/>
          </rPr>
          <t xml:space="preserve">Pour répondre à toutes les exigences, la correction acoustique est proposée en 4 niveaux de qualité.
</t>
        </r>
        <r>
          <rPr>
            <b/>
            <sz val="9"/>
            <rFont val="Tahoma"/>
            <family val="2"/>
          </rPr>
          <t xml:space="preserve">
Ruby : </t>
        </r>
        <r>
          <rPr>
            <sz val="9"/>
            <rFont val="Tahoma"/>
            <family val="2"/>
          </rPr>
          <t xml:space="preserve">Solution économique utilisant des éléments en mousse acoustique et des panneaux en matière synthétique.
</t>
        </r>
        <r>
          <rPr>
            <b/>
            <sz val="9"/>
            <rFont val="Tahoma"/>
            <family val="2"/>
          </rPr>
          <t>Silver</t>
        </r>
        <r>
          <rPr>
            <sz val="9"/>
            <rFont val="Tahoma"/>
            <family val="2"/>
          </rPr>
          <t xml:space="preserve"> : Traitement mixte utilisant des éléments standards en ébénisterie, vernis ou gainés tissus et des mousses.
</t>
        </r>
        <r>
          <rPr>
            <b/>
            <sz val="9"/>
            <rFont val="Tahoma"/>
            <family val="2"/>
          </rPr>
          <t>Gold</t>
        </r>
        <r>
          <rPr>
            <sz val="9"/>
            <rFont val="Tahoma"/>
            <family val="2"/>
          </rPr>
          <t xml:space="preserve"> : Solution professionnelle pour les studios, et les utilisateurs exigeants, décoration soignée.
</t>
        </r>
        <r>
          <rPr>
            <b/>
            <sz val="9"/>
            <rFont val="Tahoma"/>
            <family val="2"/>
          </rPr>
          <t>Platinum</t>
        </r>
        <r>
          <rPr>
            <sz val="9"/>
            <rFont val="Tahoma"/>
            <family val="2"/>
          </rPr>
          <t xml:space="preserve"> : Fabrication sur mesures, personalisée, ébénisterie intégrée, matériaux nobles, prestations haut de gamme.</t>
        </r>
      </text>
    </comment>
  </commentList>
</comments>
</file>

<file path=xl/comments7.xml><?xml version="1.0" encoding="utf-8"?>
<comments xmlns="http://schemas.openxmlformats.org/spreadsheetml/2006/main">
  <authors>
    <author>Jean-Pierre Lafont</author>
    <author>Jean-Pierre</author>
  </authors>
  <commentList>
    <comment ref="E9" authorId="0">
      <text>
        <r>
          <rPr>
            <sz val="8"/>
            <rFont val="Tahoma"/>
            <family val="2"/>
          </rPr>
          <t>1= étude de l'isolation requise</t>
        </r>
      </text>
    </comment>
    <comment ref="E10" authorId="0">
      <text>
        <r>
          <rPr>
            <sz val="8"/>
            <rFont val="Tahoma"/>
            <family val="0"/>
          </rPr>
          <t>1= étude de correction requise</t>
        </r>
      </text>
    </comment>
    <comment ref="W2" authorId="0">
      <text>
        <r>
          <rPr>
            <sz val="8"/>
            <rFont val="Tahoma"/>
            <family val="2"/>
          </rPr>
          <t>Existence de la pièce depuis "Entrée"</t>
        </r>
      </text>
    </comment>
    <comment ref="AO2" authorId="0">
      <text>
        <r>
          <rPr>
            <sz val="8"/>
            <rFont val="Tahoma"/>
            <family val="2"/>
          </rPr>
          <t>Existence de la pièce depuis "Entrée"</t>
        </r>
      </text>
    </comment>
    <comment ref="BF82" authorId="0">
      <text>
        <r>
          <rPr>
            <sz val="8"/>
            <rFont val="Tahoma"/>
            <family val="2"/>
          </rPr>
          <t>Si &gt;0, indique l'existence du document</t>
        </r>
      </text>
    </comment>
    <comment ref="F2" authorId="1">
      <text>
        <r>
          <rPr>
            <sz val="8"/>
            <rFont val="Tahoma"/>
            <family val="2"/>
          </rPr>
          <t>1= etude standard</t>
        </r>
      </text>
    </comment>
    <comment ref="F3" authorId="1">
      <text>
        <r>
          <rPr>
            <sz val="8"/>
            <rFont val="Tahoma"/>
            <family val="2"/>
          </rPr>
          <t>1= etude Premium</t>
        </r>
      </text>
    </comment>
    <comment ref="F4" authorId="1">
      <text>
        <r>
          <rPr>
            <sz val="8"/>
            <rFont val="Tahoma"/>
            <family val="2"/>
          </rPr>
          <t>1= etude Excellence</t>
        </r>
      </text>
    </comment>
    <comment ref="E2" authorId="1">
      <text>
        <r>
          <rPr>
            <sz val="8"/>
            <rFont val="Tahoma"/>
            <family val="2"/>
          </rPr>
          <t>1= existence de la pièce</t>
        </r>
      </text>
    </comment>
    <comment ref="E3" authorId="1">
      <text>
        <r>
          <rPr>
            <sz val="8"/>
            <rFont val="Tahoma"/>
            <family val="2"/>
          </rPr>
          <t>1= existence de la pièce</t>
        </r>
      </text>
    </comment>
    <comment ref="E4" authorId="1">
      <text>
        <r>
          <rPr>
            <sz val="8"/>
            <rFont val="Tahoma"/>
            <family val="2"/>
          </rPr>
          <t>1= existence de la pièce</t>
        </r>
      </text>
    </comment>
    <comment ref="E5" authorId="1">
      <text>
        <r>
          <rPr>
            <sz val="8"/>
            <rFont val="Tahoma"/>
            <family val="2"/>
          </rPr>
          <t>1= existence de la pièce</t>
        </r>
      </text>
    </comment>
    <comment ref="E6" authorId="1">
      <text>
        <r>
          <rPr>
            <sz val="8"/>
            <rFont val="Tahoma"/>
            <family val="2"/>
          </rPr>
          <t>1= existence de la pièce</t>
        </r>
      </text>
    </comment>
    <comment ref="E7" authorId="1">
      <text>
        <r>
          <rPr>
            <sz val="8"/>
            <rFont val="Tahoma"/>
            <family val="2"/>
          </rPr>
          <t>1= existence de la pièce</t>
        </r>
      </text>
    </comment>
    <comment ref="J2" authorId="1">
      <text>
        <r>
          <rPr>
            <sz val="8"/>
            <rFont val="Tahoma"/>
            <family val="2"/>
          </rPr>
          <t>1= affectation hifi</t>
        </r>
      </text>
    </comment>
    <comment ref="J3" authorId="1">
      <text>
        <r>
          <rPr>
            <sz val="8"/>
            <rFont val="Tahoma"/>
            <family val="2"/>
          </rPr>
          <t>1= affectation cinéma</t>
        </r>
      </text>
    </comment>
    <comment ref="J4" authorId="1">
      <text>
        <r>
          <rPr>
            <sz val="8"/>
            <rFont val="Tahoma"/>
            <family val="2"/>
          </rPr>
          <t>1= affectation régie</t>
        </r>
      </text>
    </comment>
    <comment ref="J5" authorId="1">
      <text>
        <r>
          <rPr>
            <sz val="8"/>
            <rFont val="Tahoma"/>
            <family val="2"/>
          </rPr>
          <t>1= indique la présence d'enceintes fixes. (affectation autre que studio)</t>
        </r>
      </text>
    </comment>
    <comment ref="F5" authorId="1">
      <text>
        <r>
          <rPr>
            <sz val="8"/>
            <rFont val="Tahoma"/>
            <family val="2"/>
          </rPr>
          <t>1= confirme la présence d'enceintes fixes.</t>
        </r>
      </text>
    </comment>
    <comment ref="F6" authorId="1">
      <text>
        <r>
          <rPr>
            <sz val="8"/>
            <rFont val="Tahoma"/>
            <family val="2"/>
          </rPr>
          <t>1= Vue 3D requise</t>
        </r>
      </text>
    </comment>
    <comment ref="F7" authorId="1">
      <text>
        <r>
          <rPr>
            <sz val="8"/>
            <rFont val="Tahoma"/>
            <family val="2"/>
          </rPr>
          <t>Nombre de visites requises ou souhaitées</t>
        </r>
      </text>
    </comment>
    <comment ref="H2" authorId="1">
      <text>
        <r>
          <rPr>
            <sz val="8"/>
            <rFont val="Tahoma"/>
            <family val="2"/>
          </rPr>
          <t>Valide l'existence de la pièce et son affectation</t>
        </r>
      </text>
    </comment>
    <comment ref="H5" authorId="1">
      <text>
        <r>
          <rPr>
            <sz val="8"/>
            <rFont val="Tahoma"/>
            <family val="2"/>
          </rPr>
          <t>Valide l'existence de la pièce et la présence d'enceintes fixes</t>
        </r>
      </text>
    </comment>
    <comment ref="H6" authorId="1">
      <text>
        <r>
          <rPr>
            <sz val="8"/>
            <rFont val="Tahoma"/>
            <family val="2"/>
          </rPr>
          <t>Valide l'existence de la pièce et la requête d'une vue 3D</t>
        </r>
      </text>
    </comment>
    <comment ref="O7" authorId="1">
      <text>
        <r>
          <rPr>
            <sz val="8"/>
            <rFont val="Tahoma"/>
            <family val="2"/>
          </rPr>
          <t>Indique que la pièce existe et qu'une étude (isolation ou correction) est requise.</t>
        </r>
      </text>
    </comment>
    <comment ref="Q12" authorId="1">
      <text>
        <r>
          <rPr>
            <sz val="8"/>
            <rFont val="Tahoma"/>
            <family val="2"/>
          </rPr>
          <t>Temps passé en minutes</t>
        </r>
      </text>
    </comment>
    <comment ref="R12" authorId="1">
      <text>
        <r>
          <rPr>
            <sz val="8"/>
            <rFont val="Tahoma"/>
            <family val="2"/>
          </rPr>
          <t>Temps décimal en heures</t>
        </r>
      </text>
    </comment>
    <comment ref="S12" authorId="1">
      <text>
        <r>
          <rPr>
            <sz val="8"/>
            <rFont val="Tahoma"/>
            <family val="2"/>
          </rPr>
          <t>Nombre de pages</t>
        </r>
      </text>
    </comment>
    <comment ref="T12" authorId="1">
      <text>
        <r>
          <rPr>
            <sz val="8"/>
            <rFont val="Tahoma"/>
            <family val="2"/>
          </rPr>
          <t>Nombre d'illustrations</t>
        </r>
      </text>
    </comment>
    <comment ref="BN12" authorId="1">
      <text>
        <r>
          <rPr>
            <sz val="8"/>
            <rFont val="Tahoma"/>
            <family val="2"/>
          </rPr>
          <t>Temps total</t>
        </r>
      </text>
    </comment>
  </commentList>
</comments>
</file>

<file path=xl/sharedStrings.xml><?xml version="1.0" encoding="utf-8"?>
<sst xmlns="http://schemas.openxmlformats.org/spreadsheetml/2006/main" count="1384" uniqueCount="574">
  <si>
    <t>Isolation</t>
  </si>
  <si>
    <t>Correction</t>
  </si>
  <si>
    <t>Cartographies</t>
  </si>
  <si>
    <t>Auralisation</t>
  </si>
  <si>
    <t>Pg</t>
  </si>
  <si>
    <t>Fig</t>
  </si>
  <si>
    <t>Etude des proportions</t>
  </si>
  <si>
    <t>Distribution modale</t>
  </si>
  <si>
    <t>Influence des modes</t>
  </si>
  <si>
    <t>Critère de Bonello</t>
  </si>
  <si>
    <t>Progression du 1er front d'onde (3D)</t>
  </si>
  <si>
    <t xml:space="preserve">Modélisation géométrique </t>
  </si>
  <si>
    <t>Aperçu 3D</t>
  </si>
  <si>
    <t>Affectation des surfaces, absorption</t>
  </si>
  <si>
    <t>Choix du traitement</t>
  </si>
  <si>
    <t>Analyse des faisceaux de réflexion</t>
  </si>
  <si>
    <t>Analyse des réflexions spéculaires</t>
  </si>
  <si>
    <t>Histogramme des absorptions</t>
  </si>
  <si>
    <t>Modélisation des enceintes, directivité</t>
  </si>
  <si>
    <t>Géométrie axiale du champ direct</t>
  </si>
  <si>
    <t>Faisceaux de directivité</t>
  </si>
  <si>
    <t>Détermination des zones critiques</t>
  </si>
  <si>
    <t>Distance critique, point d'écoute</t>
  </si>
  <si>
    <t>Position des enceintes</t>
  </si>
  <si>
    <t>Influence des parois aux basses fréquences</t>
  </si>
  <si>
    <t>Coloration</t>
  </si>
  <si>
    <t>Zones de pression</t>
  </si>
  <si>
    <t>Temps de propagation</t>
  </si>
  <si>
    <t>Réverbération par zone</t>
  </si>
  <si>
    <t>Courbes de Schroeder</t>
  </si>
  <si>
    <t>Echogrammes de réverbération</t>
  </si>
  <si>
    <t>Définition D50</t>
  </si>
  <si>
    <t>Clarté C80</t>
  </si>
  <si>
    <t>Spaciosité</t>
  </si>
  <si>
    <t>Intelligibilité, RaSTI</t>
  </si>
  <si>
    <t>Tableaux de résultats</t>
  </si>
  <si>
    <t>Paramètres avancés</t>
  </si>
  <si>
    <t>Incidence axiale des réflexions</t>
  </si>
  <si>
    <t>Echogrammes vectoriels</t>
  </si>
  <si>
    <t>Image source, effet miroir</t>
  </si>
  <si>
    <t>Spatialisation des sources</t>
  </si>
  <si>
    <t>Somme énergétique des sources</t>
  </si>
  <si>
    <t>Réponse impulsionnelle</t>
  </si>
  <si>
    <t>Rédaction et mise en page du dossier</t>
  </si>
  <si>
    <t>Plans de construction</t>
  </si>
  <si>
    <t>Vue de dessus</t>
  </si>
  <si>
    <t>Elévation</t>
  </si>
  <si>
    <t>Climatisation, distribution des gaines</t>
  </si>
  <si>
    <t>Distribution électrique</t>
  </si>
  <si>
    <t>Plancher</t>
  </si>
  <si>
    <t>Cloisons de doublage</t>
  </si>
  <si>
    <t>Cloisons séparatives</t>
  </si>
  <si>
    <t>Plafond</t>
  </si>
  <si>
    <t>Portes</t>
  </si>
  <si>
    <t>Fenêtre, chassis fixe</t>
  </si>
  <si>
    <t>Passages du câblage électronique</t>
  </si>
  <si>
    <t>Electricité, prises, éclairage</t>
  </si>
  <si>
    <t>Trappes de visite</t>
  </si>
  <si>
    <t>Coffrages, soffits</t>
  </si>
  <si>
    <t>B</t>
  </si>
  <si>
    <t>S</t>
  </si>
  <si>
    <t>I</t>
  </si>
  <si>
    <t>Histogramme du parcours moyen</t>
  </si>
  <si>
    <t>Standard</t>
  </si>
  <si>
    <t>E</t>
  </si>
  <si>
    <t>A</t>
  </si>
  <si>
    <t>C</t>
  </si>
  <si>
    <t>Tp2</t>
  </si>
  <si>
    <t>Tp1</t>
  </si>
  <si>
    <t>Modélisation des modes stationnaires (3D)</t>
  </si>
  <si>
    <t>Densité des réflexions précoces</t>
  </si>
  <si>
    <t>Options</t>
  </si>
  <si>
    <t>Pièce 1</t>
  </si>
  <si>
    <t>Pièce 2</t>
  </si>
  <si>
    <t>Pièce 3</t>
  </si>
  <si>
    <t>Superficie</t>
  </si>
  <si>
    <t>HT</t>
  </si>
  <si>
    <t>Format</t>
  </si>
  <si>
    <t>Applic</t>
  </si>
  <si>
    <t>0=no spkr</t>
  </si>
  <si>
    <t>m²</t>
  </si>
  <si>
    <t>Pièce ON</t>
  </si>
  <si>
    <t>Aucune</t>
  </si>
  <si>
    <t>Régie</t>
  </si>
  <si>
    <t>Studio</t>
  </si>
  <si>
    <t>Hi-fi</t>
  </si>
  <si>
    <t>Cinéma</t>
  </si>
  <si>
    <t>Affectation</t>
  </si>
  <si>
    <t>Surface au sol</t>
  </si>
  <si>
    <t xml:space="preserve"> €</t>
  </si>
  <si>
    <t xml:space="preserve"> € hors taxes</t>
  </si>
  <si>
    <t xml:space="preserve">Prix de l'étude </t>
  </si>
  <si>
    <t>Temps</t>
  </si>
  <si>
    <t>cocher les options</t>
  </si>
  <si>
    <t>Sélectionner</t>
  </si>
  <si>
    <t>Suivi de chantier</t>
  </si>
  <si>
    <t>Conseils d'utilisation</t>
  </si>
  <si>
    <t>pour tous corps d'état</t>
  </si>
  <si>
    <t>Image photoréaliste 3D</t>
  </si>
  <si>
    <t>Cahier des clauses particulières</t>
  </si>
  <si>
    <t>1) Sélectionnez l'application dans la liste déroulante.</t>
  </si>
  <si>
    <t>Vue 3D</t>
  </si>
  <si>
    <t>Représentation photoréaliste 3D</t>
  </si>
  <si>
    <t>Plans de détail</t>
  </si>
  <si>
    <t>Cahier des dispositions particulières</t>
  </si>
  <si>
    <t>pour tout corps d'état</t>
  </si>
  <si>
    <t>Total</t>
  </si>
  <si>
    <t>Remise quantitative</t>
  </si>
  <si>
    <t>Total après remise</t>
  </si>
  <si>
    <t>Heures</t>
  </si>
  <si>
    <t>Pages</t>
  </si>
  <si>
    <t>Illustrations</t>
  </si>
  <si>
    <t>€ HT</t>
  </si>
  <si>
    <t>Déterminez vous-même le prix de construction</t>
  </si>
  <si>
    <t xml:space="preserve">   Renseignez les cases encadrées</t>
  </si>
  <si>
    <t>Doublage</t>
  </si>
  <si>
    <t>Niveau d'exigence</t>
  </si>
  <si>
    <t>Sol</t>
  </si>
  <si>
    <t>Longueur</t>
  </si>
  <si>
    <t>m</t>
  </si>
  <si>
    <t>Largeur</t>
  </si>
  <si>
    <t>Hauteur</t>
  </si>
  <si>
    <t>Nb d'arêtes</t>
  </si>
  <si>
    <t>Porte</t>
  </si>
  <si>
    <r>
      <t xml:space="preserve">Chassis - </t>
    </r>
    <r>
      <rPr>
        <i/>
        <sz val="8"/>
        <color indexed="23"/>
        <rFont val="Arial"/>
        <family val="2"/>
      </rPr>
      <t>fenêtres</t>
    </r>
  </si>
  <si>
    <t>Trappe</t>
  </si>
  <si>
    <t>Soffit</t>
  </si>
  <si>
    <t>Estrade</t>
  </si>
  <si>
    <t>Estimation du coût</t>
  </si>
  <si>
    <t>Electricité (1)</t>
  </si>
  <si>
    <t>Passage de câbles</t>
  </si>
  <si>
    <t>La fourchette de prix s'explique par les spécificités de chaque chantier.</t>
  </si>
  <si>
    <t>Surface utile</t>
  </si>
  <si>
    <t>Parmi les facteurs déterminants, il faut compter la facilité d'accès, l'emplacement des issues, la résistance du plancher, les dimensions des portes et des fenêtres, l'état des circuits électriques, etc.</t>
  </si>
  <si>
    <t>Surface des murs</t>
  </si>
  <si>
    <t>Surface d'absorption</t>
  </si>
  <si>
    <t>Les montants sont établis en s'appuyant sur la moyenne des prix habituellement pratiqués par les entreprises spécialisées, en région Parisienne.</t>
  </si>
  <si>
    <t xml:space="preserve">entre  </t>
  </si>
  <si>
    <t xml:space="preserve">et </t>
  </si>
  <si>
    <t>_________________________________________________________________________________________</t>
  </si>
  <si>
    <t>Cochez les cases</t>
  </si>
  <si>
    <t>Plafond absorbant</t>
  </si>
  <si>
    <t>Parquet flottant</t>
  </si>
  <si>
    <t>Electricité (2)</t>
  </si>
  <si>
    <t>Ventilation</t>
  </si>
  <si>
    <t>Climatisation</t>
  </si>
  <si>
    <t>Aucun</t>
  </si>
  <si>
    <t>Professionnel</t>
  </si>
  <si>
    <t>Aucun plancher sélectionné</t>
  </si>
  <si>
    <t>Chape sèche triple sandwich, panneaux bouvetés et</t>
  </si>
  <si>
    <t>masse élastique, posée sur plots antivibratiles</t>
  </si>
  <si>
    <t>Elect.1</t>
  </si>
  <si>
    <t>Facteur de qualité</t>
  </si>
  <si>
    <t>Peinture</t>
  </si>
  <si>
    <t>Type de plancher</t>
  </si>
  <si>
    <t>Parquet</t>
  </si>
  <si>
    <t>Dalle en béton désolidarisée des murs et du sol</t>
  </si>
  <si>
    <t>Elect.2</t>
  </si>
  <si>
    <t>épaisseur 10cm, renfort treillis soudé</t>
  </si>
  <si>
    <t>Gaines AV</t>
  </si>
  <si>
    <t>appui sur plots antivratiles et laine compressée</t>
  </si>
  <si>
    <t>Surface peint</t>
  </si>
  <si>
    <t>VMC</t>
  </si>
  <si>
    <t>Surface abs</t>
  </si>
  <si>
    <t>Clim</t>
  </si>
  <si>
    <t>Système désolidarisé en appui sur le plancher flottant</t>
  </si>
  <si>
    <t>Volume utile</t>
  </si>
  <si>
    <t>sans contact avec les murs</t>
  </si>
  <si>
    <t>Ossature Placostil 70 mm sur semelle souple étanche</t>
  </si>
  <si>
    <t>Périmètre</t>
  </si>
  <si>
    <t xml:space="preserve">Amortissement en laine de roche haute densité 2x75 mm </t>
  </si>
  <si>
    <t>Nb d'arrêtes</t>
  </si>
  <si>
    <t>Parement: sandwich 2 épaisseurs (2x13) 36dB</t>
  </si>
  <si>
    <t>Placostil 36dB</t>
  </si>
  <si>
    <t>Placostil 42dB</t>
  </si>
  <si>
    <t>Jointoiement individuel des couches (pose croisée)</t>
  </si>
  <si>
    <t>Bases €/m²</t>
  </si>
  <si>
    <t>Prix/poste</t>
  </si>
  <si>
    <t>Surface murs</t>
  </si>
  <si>
    <t>Complexe</t>
  </si>
  <si>
    <t>Longueur arrêtes</t>
  </si>
  <si>
    <t>Arêtes</t>
  </si>
  <si>
    <t>Chape sèche</t>
  </si>
  <si>
    <t>Ossature Placostil 90 mm sur semelle souple étanche</t>
  </si>
  <si>
    <t>Dalle béton</t>
  </si>
  <si>
    <t>m3</t>
  </si>
  <si>
    <t>Iso plafond</t>
  </si>
  <si>
    <t>Parement: sandwich 3 épaisseurs (18/13/13) 43dB</t>
  </si>
  <si>
    <t>Fenêtres</t>
  </si>
  <si>
    <t>Chassis fixe</t>
  </si>
  <si>
    <t>Ossature primaire en fourrures F530 et suspentes souples</t>
  </si>
  <si>
    <t>Trappes</t>
  </si>
  <si>
    <t>Trappe/m</t>
  </si>
  <si>
    <t>Amortissement en laine de roche haute densité 80mm</t>
  </si>
  <si>
    <t>Soffits</t>
  </si>
  <si>
    <t>Soffit/m</t>
  </si>
  <si>
    <t>Paroi en sandwich 2 épaisseurs (2x13) 36dB</t>
  </si>
  <si>
    <t>Estrade/m²</t>
  </si>
  <si>
    <t>Electricité 1</t>
  </si>
  <si>
    <t>Câbles</t>
  </si>
  <si>
    <t>Total isolation</t>
  </si>
  <si>
    <t>Mini</t>
  </si>
  <si>
    <t>Maxi</t>
  </si>
  <si>
    <t>Second œuvre</t>
  </si>
  <si>
    <t>Enduits/Peintures</t>
  </si>
  <si>
    <t xml:space="preserve">Ossature primaire Placostil Prim 100 et fourrures F530  </t>
  </si>
  <si>
    <t>Amortissement en laine de roche haute densité 2x100mm</t>
  </si>
  <si>
    <t>Electricité 2</t>
  </si>
  <si>
    <t>Prise-Inter</t>
  </si>
  <si>
    <t>Paroi en sandwich 2 épaisseurs (18/13) 40dB</t>
  </si>
  <si>
    <t>Gaine</t>
  </si>
  <si>
    <t>Gaines VMC</t>
  </si>
  <si>
    <t>Gaine+ Vent.</t>
  </si>
  <si>
    <t>Gaines Clim</t>
  </si>
  <si>
    <t>Gaine+ Clim</t>
  </si>
  <si>
    <t>Prix € HT</t>
  </si>
  <si>
    <t>Porte acoustique 83cm, 41dB, panneau âme pleine 80 kg</t>
  </si>
  <si>
    <t xml:space="preserve">et huisserie bois exotique, 4 paumelles renforcées </t>
  </si>
  <si>
    <t>fermeture 3 points, joint periphérique, seuil suisse métallique</t>
  </si>
  <si>
    <t xml:space="preserve">vitrage incliné 10/12mm sur joint souple, système de </t>
  </si>
  <si>
    <t>décompression intégré, fermeture par parcloses</t>
  </si>
  <si>
    <t>________________________________________________________________________________________________</t>
  </si>
  <si>
    <t>amortissement anti résonance,</t>
  </si>
  <si>
    <t>Panneau double épaisseur, posé sur joint étanche</t>
  </si>
  <si>
    <t>fermeture par vis.</t>
  </si>
  <si>
    <r>
      <t>Enduits et peintures</t>
    </r>
    <r>
      <rPr>
        <sz val="10"/>
        <rFont val="Arial"/>
        <family val="2"/>
      </rPr>
      <t xml:space="preserve"> des parois visibles (parois latérales et </t>
    </r>
  </si>
  <si>
    <t>retours arrière) plinthes, châssis fenêtre et huisseries</t>
  </si>
  <si>
    <r>
      <t>Électricité</t>
    </r>
    <r>
      <rPr>
        <sz val="10"/>
        <rFont val="Arial"/>
        <family val="2"/>
      </rPr>
      <t xml:space="preserve"> : passage des câbles dans le doublage</t>
    </r>
  </si>
  <si>
    <r>
      <t>Électricité</t>
    </r>
    <r>
      <rPr>
        <sz val="10"/>
        <rFont val="Arial"/>
        <family val="2"/>
      </rPr>
      <t xml:space="preserve"> : fournitures</t>
    </r>
  </si>
  <si>
    <t>12 spots halogènes orientables 220V, couleur blanche</t>
  </si>
  <si>
    <t>2 interrupteurs en applique</t>
  </si>
  <si>
    <t>8 prises murales en applique</t>
  </si>
  <si>
    <r>
      <t>Audio/vidéo</t>
    </r>
    <r>
      <rPr>
        <sz val="10"/>
        <rFont val="Arial"/>
        <family val="2"/>
      </rPr>
      <t xml:space="preserve"> : Gaine souple pour passage de cables entre</t>
    </r>
  </si>
  <si>
    <t>régie et couloir</t>
  </si>
  <si>
    <t>Remarque : Une remise quantitative est appliquée à partir de 2 pièces car certains plans peuvent être regroupés sur un même dessin.</t>
  </si>
  <si>
    <t>__________________________________________________________________________________________________</t>
  </si>
  <si>
    <t>Ruby</t>
  </si>
  <si>
    <t>Gold</t>
  </si>
  <si>
    <t>Platinum</t>
  </si>
  <si>
    <t>Silver</t>
  </si>
  <si>
    <t>Pose comprise</t>
  </si>
  <si>
    <t>Surf plafond</t>
  </si>
  <si>
    <t>Surf murs</t>
  </si>
  <si>
    <t>Volume</t>
  </si>
  <si>
    <r>
      <t>m</t>
    </r>
    <r>
      <rPr>
        <vertAlign val="superscript"/>
        <sz val="9"/>
        <rFont val="Arial"/>
        <family val="2"/>
      </rPr>
      <t>3</t>
    </r>
  </si>
  <si>
    <t>Prix/m²</t>
  </si>
  <si>
    <t>Base</t>
  </si>
  <si>
    <t>Murs+plaf</t>
  </si>
  <si>
    <t>Prix plafond</t>
  </si>
  <si>
    <t>entre</t>
  </si>
  <si>
    <t>et</t>
  </si>
  <si>
    <t>-plafond</t>
  </si>
  <si>
    <t>Enceintes encastrées</t>
  </si>
  <si>
    <t>Application</t>
  </si>
  <si>
    <t>_____________________________________________________________________________</t>
  </si>
  <si>
    <t>Classe</t>
  </si>
  <si>
    <t>_______________________________________________________________________________________________________</t>
  </si>
  <si>
    <t>Mur façade</t>
  </si>
  <si>
    <t>Surf façade</t>
  </si>
  <si>
    <t>La base détermine le prix du traitement au mètre carré de mur couvert.</t>
  </si>
  <si>
    <t>Coeff pose</t>
  </si>
  <si>
    <t>Affichage</t>
  </si>
  <si>
    <t>Prix</t>
  </si>
  <si>
    <t xml:space="preserve">  prix au mètre carré, posé.</t>
  </si>
  <si>
    <t>Coeff fourchette</t>
  </si>
  <si>
    <t>La surface Ruby inclut les murs et le plafond</t>
  </si>
  <si>
    <t>car les kits possèdent des dalles Keops.</t>
  </si>
  <si>
    <t>En tenir compte en cas d'utilisation d'un plafond suspendu.</t>
  </si>
  <si>
    <t>La surface Platinum inclut les murs et le plafond</t>
  </si>
  <si>
    <t>faites cela</t>
  </si>
  <si>
    <t>Classe d'étude</t>
  </si>
  <si>
    <t>La modélisation de ce type d'image haute définition est gourmande en heures de travail, ce qui en fait une option onéreuse. Vérifiez l'incidence sur le coût global avant de confirmer cette option.</t>
  </si>
  <si>
    <t xml:space="preserve">Pour satisfaire tous les types de demande nous </t>
  </si>
  <si>
    <t>avons établi plusieurs classes (ou modèles) d'étude.</t>
  </si>
  <si>
    <t>Chaque classe contient un nombre de modules correspondant à sa spécificité ou au degré d'exigence.</t>
  </si>
  <si>
    <t>Les classes d'étude sont décrites ci-dessous et leur contenu est détaillé dans le tableau à gauche.</t>
  </si>
  <si>
    <t>avec ceci</t>
  </si>
  <si>
    <t>________________________________________________________________________________________________________________________________</t>
  </si>
  <si>
    <r>
      <t xml:space="preserve">Longueur </t>
    </r>
    <r>
      <rPr>
        <i/>
        <sz val="10"/>
        <color indexed="23"/>
        <rFont val="Arial"/>
        <family val="2"/>
      </rPr>
      <t>brute</t>
    </r>
  </si>
  <si>
    <r>
      <t xml:space="preserve">Largeur </t>
    </r>
    <r>
      <rPr>
        <i/>
        <sz val="10"/>
        <color indexed="23"/>
        <rFont val="Arial"/>
        <family val="2"/>
      </rPr>
      <t>brute</t>
    </r>
  </si>
  <si>
    <r>
      <t xml:space="preserve">Hauteur </t>
    </r>
    <r>
      <rPr>
        <i/>
        <sz val="10"/>
        <color indexed="23"/>
        <rFont val="Arial"/>
        <family val="2"/>
      </rPr>
      <t>brute</t>
    </r>
  </si>
  <si>
    <t>Sélectionnez le type de doublage et de plancher dans</t>
  </si>
  <si>
    <t>les listes dérourantes 1 et 2, puis répondez aux</t>
  </si>
  <si>
    <t>Les autres données sont déjà entrées dans le premier tableau.</t>
  </si>
  <si>
    <t>Ne rien entrer dans les cases vertes</t>
  </si>
  <si>
    <t>rubriques 3 à 9.</t>
  </si>
  <si>
    <t>Astuce : glissez le curseur de la souris sur les titres à gauche pour voir apparaître les conseils.</t>
  </si>
  <si>
    <t>1) Sélectionnez la classe dans la liste déroulante et complétez éventuellement avec les cases d'options.</t>
  </si>
  <si>
    <t>L'ETUDE ACOUSTIQUE</t>
  </si>
  <si>
    <t>Déterminez vous-même, le prix de</t>
  </si>
  <si>
    <t>Ne rien entrer</t>
  </si>
  <si>
    <t>Pose+Platinu</t>
  </si>
  <si>
    <t>Messages d'erreurs</t>
  </si>
  <si>
    <r>
      <t>1</t>
    </r>
    <r>
      <rPr>
        <sz val="9"/>
        <rFont val="Arial"/>
        <family val="2"/>
      </rPr>
      <t xml:space="preserve"> = L'option est déjà cochée dans le module Isolation, ou comprise dans la classe Platinum.</t>
    </r>
  </si>
  <si>
    <r>
      <t>3</t>
    </r>
    <r>
      <rPr>
        <sz val="9"/>
        <rFont val="Arial"/>
        <family val="2"/>
      </rPr>
      <t xml:space="preserve"> = Pose déjà incluse avec la classe Platinum</t>
    </r>
  </si>
  <si>
    <t xml:space="preserve">Cochez les cases     </t>
  </si>
  <si>
    <r>
      <t>Plafond: message d'</t>
    </r>
    <r>
      <rPr>
        <sz val="10"/>
        <color indexed="10"/>
        <rFont val="Arial"/>
        <family val="2"/>
      </rPr>
      <t xml:space="preserve">erreur </t>
    </r>
    <r>
      <rPr>
        <sz val="10"/>
        <rFont val="Arial"/>
        <family val="2"/>
      </rPr>
      <t>= ne pas sélectionner.</t>
    </r>
  </si>
  <si>
    <r>
      <t xml:space="preserve">(déjà inclus dans le module de </t>
    </r>
    <r>
      <rPr>
        <b/>
        <sz val="10"/>
        <color indexed="63"/>
        <rFont val="Arial"/>
        <family val="2"/>
      </rPr>
      <t>correction</t>
    </r>
    <r>
      <rPr>
        <sz val="10"/>
        <color indexed="63"/>
        <rFont val="Arial"/>
        <family val="2"/>
      </rPr>
      <t xml:space="preserve"> acoustique).</t>
    </r>
  </si>
  <si>
    <t>de l'isolation seule.</t>
  </si>
  <si>
    <t>Fenêtre acoustique fixe à deux chassis,</t>
  </si>
  <si>
    <t>Renvoi quote correction</t>
  </si>
  <si>
    <r>
      <t xml:space="preserve">Prix total </t>
    </r>
    <r>
      <rPr>
        <b/>
        <sz val="11"/>
        <rFont val="Arial"/>
        <family val="2"/>
      </rPr>
      <t xml:space="preserve">- </t>
    </r>
    <r>
      <rPr>
        <sz val="10"/>
        <rFont val="Arial"/>
        <family val="2"/>
      </rPr>
      <t>fournitures et options :</t>
    </r>
  </si>
  <si>
    <t>Elévations</t>
  </si>
  <si>
    <t>Etude théorique</t>
  </si>
  <si>
    <t>Plafond isophonique</t>
  </si>
  <si>
    <t>Fenêtres (chassis fixes)</t>
  </si>
  <si>
    <t>Gaines de ventilation</t>
  </si>
  <si>
    <t>Coffrages, soffits, estrades</t>
  </si>
  <si>
    <t>Mur d'enceintes</t>
  </si>
  <si>
    <t>Ecran, proscenium</t>
  </si>
  <si>
    <t>Plafond structuré ou suspendu</t>
  </si>
  <si>
    <t>Basstraps intégrés</t>
  </si>
  <si>
    <t>Hifi</t>
  </si>
  <si>
    <t>Ciné</t>
  </si>
  <si>
    <t>Speakers</t>
  </si>
  <si>
    <t>Surf tot</t>
  </si>
  <si>
    <t>Plans de détails personnalisés</t>
  </si>
  <si>
    <t>Elévations ou développé</t>
  </si>
  <si>
    <t xml:space="preserve">Temps estimé </t>
  </si>
  <si>
    <t>h</t>
  </si>
  <si>
    <t>Plans de détails</t>
  </si>
  <si>
    <r>
      <t xml:space="preserve">de </t>
    </r>
    <r>
      <rPr>
        <i/>
        <sz val="10"/>
        <rFont val="Arial"/>
        <family val="2"/>
      </rPr>
      <t xml:space="preserve">l' </t>
    </r>
    <r>
      <rPr>
        <b/>
        <i/>
        <sz val="12"/>
        <color indexed="10"/>
        <rFont val="Arial"/>
        <family val="2"/>
      </rPr>
      <t>ISOLATION ACOUSTIQUE</t>
    </r>
  </si>
  <si>
    <r>
      <t>Options de second œuvre</t>
    </r>
    <r>
      <rPr>
        <i/>
        <sz val="10"/>
        <rFont val="Arial"/>
        <family val="2"/>
      </rPr>
      <t xml:space="preserve"> </t>
    </r>
  </si>
  <si>
    <r>
      <t>Options</t>
    </r>
    <r>
      <rPr>
        <i/>
        <sz val="10"/>
        <rFont val="Arial"/>
        <family val="2"/>
      </rPr>
      <t xml:space="preserve"> </t>
    </r>
  </si>
  <si>
    <r>
      <t>de la</t>
    </r>
    <r>
      <rPr>
        <b/>
        <sz val="12"/>
        <rFont val="Arial"/>
        <family val="2"/>
      </rPr>
      <t xml:space="preserve"> </t>
    </r>
    <r>
      <rPr>
        <b/>
        <i/>
        <sz val="12"/>
        <color indexed="10"/>
        <rFont val="Arial"/>
        <family val="2"/>
      </rPr>
      <t>CORRECTION ACOUSTIQUE</t>
    </r>
  </si>
  <si>
    <t>L</t>
  </si>
  <si>
    <t>W</t>
  </si>
  <si>
    <t>H</t>
  </si>
  <si>
    <t>Géométrie Horiz.</t>
  </si>
  <si>
    <t>Rectangle</t>
  </si>
  <si>
    <t>en L</t>
  </si>
  <si>
    <t>Horizontal</t>
  </si>
  <si>
    <t>Incliné</t>
  </si>
  <si>
    <t>2 pentes</t>
  </si>
  <si>
    <t>Mansardé</t>
  </si>
  <si>
    <t>Trapèze</t>
  </si>
  <si>
    <t>1 biais</t>
  </si>
  <si>
    <t>2 biais</t>
  </si>
  <si>
    <t>S1</t>
  </si>
  <si>
    <t>S2</t>
  </si>
  <si>
    <t>S3</t>
  </si>
  <si>
    <t>S4</t>
  </si>
  <si>
    <t>S5</t>
  </si>
  <si>
    <t>V1</t>
  </si>
  <si>
    <t>V2</t>
  </si>
  <si>
    <t>V3</t>
  </si>
  <si>
    <t>V4</t>
  </si>
  <si>
    <t xml:space="preserve">Auditorium hifi, home-cinéma, régie de mixage ou de </t>
  </si>
  <si>
    <t>mastering, studio d'enregistrement ou de répétition.</t>
  </si>
  <si>
    <t>7 à 12) Des dimensions complémentaires seront demandées si la géométrie est différente d'un parallèlipipède. Remplissez les cases quand la lettre m s'affiche à droite.</t>
  </si>
  <si>
    <t>A1</t>
  </si>
  <si>
    <t>B1</t>
  </si>
  <si>
    <t>C1</t>
  </si>
  <si>
    <t>D1</t>
  </si>
  <si>
    <t>A2</t>
  </si>
  <si>
    <t>B2</t>
  </si>
  <si>
    <t>C2</t>
  </si>
  <si>
    <t>D2</t>
  </si>
  <si>
    <t>E2</t>
  </si>
  <si>
    <t>F2</t>
  </si>
  <si>
    <t>A3</t>
  </si>
  <si>
    <t>B3</t>
  </si>
  <si>
    <t>C3</t>
  </si>
  <si>
    <t>D3</t>
  </si>
  <si>
    <t>E3</t>
  </si>
  <si>
    <t>A4</t>
  </si>
  <si>
    <t>B4</t>
  </si>
  <si>
    <t>C4</t>
  </si>
  <si>
    <t>D4</t>
  </si>
  <si>
    <t>E4</t>
  </si>
  <si>
    <t>F4</t>
  </si>
  <si>
    <t>A5</t>
  </si>
  <si>
    <t>B5</t>
  </si>
  <si>
    <t>C5</t>
  </si>
  <si>
    <t>D5</t>
  </si>
  <si>
    <t>murs</t>
  </si>
  <si>
    <t>HM6</t>
  </si>
  <si>
    <t>HM7</t>
  </si>
  <si>
    <t>HM8</t>
  </si>
  <si>
    <t>HM9</t>
  </si>
  <si>
    <t>Surface plafond: si incliné = S+10% = G50*1,1</t>
  </si>
  <si>
    <t>P1</t>
  </si>
  <si>
    <t>P2</t>
  </si>
  <si>
    <t>P3</t>
  </si>
  <si>
    <t>P4</t>
  </si>
  <si>
    <t>P5</t>
  </si>
  <si>
    <t>Local 1</t>
  </si>
  <si>
    <t>L1</t>
  </si>
  <si>
    <t>W1</t>
  </si>
  <si>
    <t>H1</t>
  </si>
  <si>
    <t>isolé</t>
  </si>
  <si>
    <t>avec isolation</t>
  </si>
  <si>
    <t>sans isolation</t>
  </si>
  <si>
    <t>Local 2</t>
  </si>
  <si>
    <t>Local 3</t>
  </si>
  <si>
    <t>larg.</t>
  </si>
  <si>
    <t>surf.</t>
  </si>
  <si>
    <t>D</t>
  </si>
  <si>
    <t>F</t>
  </si>
  <si>
    <t xml:space="preserve">     Surface plancher</t>
  </si>
  <si>
    <r>
      <t>m</t>
    </r>
    <r>
      <rPr>
        <vertAlign val="superscript"/>
        <sz val="10"/>
        <rFont val="Arial"/>
        <family val="2"/>
      </rPr>
      <t>3</t>
    </r>
  </si>
  <si>
    <t>Rect</t>
  </si>
  <si>
    <t>En L</t>
  </si>
  <si>
    <t>Combles</t>
  </si>
  <si>
    <t xml:space="preserve">Surface plafond  </t>
  </si>
  <si>
    <t xml:space="preserve">Surface plancher  </t>
  </si>
  <si>
    <t xml:space="preserve">Volume  </t>
  </si>
  <si>
    <t xml:space="preserve">Surface développée  </t>
  </si>
  <si>
    <t xml:space="preserve">Hauteur moyenne  </t>
  </si>
  <si>
    <t xml:space="preserve">Surface murs  </t>
  </si>
  <si>
    <t>4 - 5 -6) Entrez la longueur, largeur et hauteur maximale, comme indiqué sur le dessin.</t>
  </si>
  <si>
    <t>2) Sélectionnez la géométrie de la pièce. Référez vous aux modèles 1 à 5 sur le dessin en bas de page.</t>
  </si>
  <si>
    <t>Ensuite, vous pourrez accéder directement aux différents modules en cliquant sur les onglets situés à gauche en bas de l'écran.</t>
  </si>
  <si>
    <r>
      <t xml:space="preserve">Cliquez ici si vous n'avez </t>
    </r>
    <r>
      <rPr>
        <i/>
        <u val="single"/>
        <sz val="10"/>
        <color indexed="12"/>
        <rFont val="Arial"/>
        <family val="2"/>
      </rPr>
      <t>pas besoin</t>
    </r>
    <r>
      <rPr>
        <i/>
        <sz val="10"/>
        <color indexed="12"/>
        <rFont val="Arial"/>
        <family val="2"/>
      </rPr>
      <t xml:space="preserve"> d'isolation</t>
    </r>
  </si>
  <si>
    <r>
      <t xml:space="preserve">    Cliquez ici si vous n'avez </t>
    </r>
    <r>
      <rPr>
        <i/>
        <u val="single"/>
        <sz val="10"/>
        <color indexed="12"/>
        <rFont val="Arial"/>
        <family val="2"/>
      </rPr>
      <t>pas besoin</t>
    </r>
    <r>
      <rPr>
        <i/>
        <sz val="10"/>
        <color indexed="12"/>
        <rFont val="Arial"/>
        <family val="2"/>
      </rPr>
      <t xml:space="preserve"> de correction</t>
    </r>
  </si>
  <si>
    <t>Nombre de visites en région Parisienne</t>
  </si>
  <si>
    <t>1=5.1</t>
  </si>
  <si>
    <t xml:space="preserve">Cumul des prestations  </t>
  </si>
  <si>
    <t xml:space="preserve">Prix de l'étude  </t>
  </si>
  <si>
    <t>Tp1=</t>
  </si>
  <si>
    <t>Pg=</t>
  </si>
  <si>
    <t>nombre de pages</t>
  </si>
  <si>
    <t>Fig=</t>
  </si>
  <si>
    <t>nombre d'illustrations</t>
  </si>
  <si>
    <t>temps passé en mn</t>
  </si>
  <si>
    <t>Plans</t>
  </si>
  <si>
    <t>Tp tot</t>
  </si>
  <si>
    <t>Nb plans</t>
  </si>
  <si>
    <t>temps décimal en heures</t>
  </si>
  <si>
    <t>Tp2=</t>
  </si>
  <si>
    <t>Condition d'existence du document</t>
  </si>
  <si>
    <t>Visites sur site</t>
  </si>
  <si>
    <t>Visite préliminaire sans mesurage</t>
  </si>
  <si>
    <t>Visite préliminaire avec mesures d'isolement</t>
  </si>
  <si>
    <t>Visite de contrôle avec mesurages</t>
  </si>
  <si>
    <t>Visite préliminaire avec mesurage</t>
  </si>
  <si>
    <t>Remise vues de dessus groupées</t>
  </si>
  <si>
    <t>Isol</t>
  </si>
  <si>
    <t>Corr</t>
  </si>
  <si>
    <t>DnTA</t>
  </si>
  <si>
    <t>Il n'est pas nécessaire de cocher les plans de détail quand les travaux sont effectués par une entreprise spécialisée dans la correction acoustique. Par contre, si vous avez recours à une entreprise générale du bâtiment, ou si vous faîtes les travaux vous-même, ces plans sauront vous guider et vous éviter de commettre des erreurs.</t>
  </si>
  <si>
    <r>
      <t xml:space="preserve">Classes d'études </t>
    </r>
    <r>
      <rPr>
        <i/>
        <sz val="10"/>
        <rFont val="Arial"/>
        <family val="2"/>
      </rPr>
      <t>(à lire en priorité)</t>
    </r>
  </si>
  <si>
    <t>La visite sur site ne n'est pas indispensable, sauf lorsque des mesurages sont requis. Une description des locaux suffisamment complète et précise, permet de réaliser une économie appréciable. Nous pouvons vous aider gratuitement à rassembler les informations nécessaires pour mener l'étude.</t>
  </si>
  <si>
    <t>Inclut tous les modules et options.</t>
  </si>
  <si>
    <t>Chaque classe d'étude inclut une section dédiée à d'isolement des locaux. Cette dernière inclut l'analyse des chemins de propagation, le calcul de l'affaiblissement des parois séparatives ou de doublage, leur description, le tracé des contours en plan et en élévation. L'étude de l'isolation est utile pour évaluer l'impact des nuisances, renseigner un dossier de conformité et améliorer le confort de l'habitat. Si votre application ne requiert pas d'isolation, vous pouvez désactiver cette partie.</t>
  </si>
  <si>
    <t>Hauteur moyenne</t>
  </si>
  <si>
    <t>Local</t>
  </si>
  <si>
    <t>Isolation acoustique</t>
  </si>
  <si>
    <t>Peintures/Tissu</t>
  </si>
  <si>
    <t>36dB</t>
  </si>
  <si>
    <t>42dB</t>
  </si>
  <si>
    <t>Tarif prestations</t>
  </si>
  <si>
    <t>/m²</t>
  </si>
  <si>
    <t>/m</t>
  </si>
  <si>
    <t>unit.</t>
  </si>
  <si>
    <t>Gaine VMC</t>
  </si>
  <si>
    <t>Gaine Clim</t>
  </si>
  <si>
    <t>Gaine Audio</t>
  </si>
  <si>
    <t>Câbles élec.</t>
  </si>
  <si>
    <t>m² cloison</t>
  </si>
  <si>
    <t>total cloison</t>
  </si>
  <si>
    <t>des options.</t>
  </si>
  <si>
    <t>Cellule BP93 ajoutée</t>
  </si>
  <si>
    <t>Cellule BP94 ajoutée</t>
  </si>
  <si>
    <t>Madex</t>
  </si>
  <si>
    <t>Madex (posé)</t>
  </si>
  <si>
    <t>Rab</t>
  </si>
  <si>
    <t>Matériaux à venir</t>
  </si>
  <si>
    <t>Revêtement mural</t>
  </si>
  <si>
    <r>
      <t>Audio-vidéo</t>
    </r>
    <r>
      <rPr>
        <i/>
        <sz val="10"/>
        <color indexed="23"/>
        <rFont val="Arial"/>
        <family val="2"/>
      </rPr>
      <t>- gaines</t>
    </r>
  </si>
  <si>
    <r>
      <t>2</t>
    </r>
    <r>
      <rPr>
        <sz val="9"/>
        <rFont val="Arial"/>
        <family val="2"/>
      </rPr>
      <t xml:space="preserve"> = Option impossible avec la classe Ruby, l'application Studio, ou déjà incluse avec Platinum.</t>
    </r>
  </si>
  <si>
    <t>Renvoi quote mur d'enceintes</t>
  </si>
  <si>
    <t>Renvoi quote plafond posé</t>
  </si>
  <si>
    <t>Correction murs + plafond sans pose</t>
  </si>
  <si>
    <t>-----------------</t>
  </si>
  <si>
    <t>---------------</t>
  </si>
  <si>
    <t>Long</t>
  </si>
  <si>
    <t>Larg</t>
  </si>
  <si>
    <t>Haut</t>
  </si>
  <si>
    <t xml:space="preserve">Les enceintes encastrées en façade ne sont pas proposées </t>
  </si>
  <si>
    <t>en classe Ruby et sont déjà incluses en classe Platinum.</t>
  </si>
  <si>
    <t>Prix=250 + surf x 300 euros</t>
  </si>
  <si>
    <t>Retrait du plafond déjà inclus en version platinum</t>
  </si>
  <si>
    <t>le traitement du plafond est déjà compris car la surface</t>
  </si>
  <si>
    <t>platinum est donnée par B16.</t>
  </si>
  <si>
    <t>Bonus</t>
  </si>
  <si>
    <t>Forfait en attente</t>
  </si>
  <si>
    <t>inclut le transport</t>
  </si>
  <si>
    <t xml:space="preserve"> tarif modifiable</t>
  </si>
  <si>
    <t>Société</t>
  </si>
  <si>
    <t>Adresse 2</t>
  </si>
  <si>
    <t>Fax</t>
  </si>
  <si>
    <t>de votre home cinéma, auditorium, studio d'enregistrement ou de répétition.</t>
  </si>
  <si>
    <r>
      <t>Nom</t>
    </r>
    <r>
      <rPr>
        <i/>
        <sz val="10"/>
        <color indexed="10"/>
        <rFont val="Arial"/>
        <family val="2"/>
      </rPr>
      <t>*</t>
    </r>
  </si>
  <si>
    <r>
      <t>Adresse 1</t>
    </r>
    <r>
      <rPr>
        <i/>
        <sz val="10"/>
        <color indexed="10"/>
        <rFont val="Arial"/>
        <family val="2"/>
      </rPr>
      <t>*</t>
    </r>
  </si>
  <si>
    <r>
      <t>Code postal</t>
    </r>
    <r>
      <rPr>
        <i/>
        <sz val="10"/>
        <color indexed="10"/>
        <rFont val="Arial"/>
        <family val="2"/>
      </rPr>
      <t>*</t>
    </r>
  </si>
  <si>
    <r>
      <t>Tél</t>
    </r>
    <r>
      <rPr>
        <i/>
        <sz val="10"/>
        <color indexed="10"/>
        <rFont val="Arial"/>
        <family val="2"/>
      </rPr>
      <t>*</t>
    </r>
  </si>
  <si>
    <r>
      <t>E-mail</t>
    </r>
    <r>
      <rPr>
        <i/>
        <sz val="10"/>
        <color indexed="10"/>
        <rFont val="Arial"/>
        <family val="2"/>
      </rPr>
      <t>*</t>
    </r>
  </si>
  <si>
    <t>Vos coordonnées</t>
  </si>
  <si>
    <t>Mode d'emploi</t>
  </si>
  <si>
    <r>
      <t xml:space="preserve">1 </t>
    </r>
    <r>
      <rPr>
        <sz val="10"/>
        <rFont val="Arial"/>
        <family val="0"/>
      </rPr>
      <t xml:space="preserve">- </t>
    </r>
  </si>
  <si>
    <r>
      <t xml:space="preserve">2 </t>
    </r>
    <r>
      <rPr>
        <sz val="10"/>
        <rFont val="Arial"/>
        <family val="0"/>
      </rPr>
      <t xml:space="preserve">- </t>
    </r>
  </si>
  <si>
    <r>
      <t xml:space="preserve">3 </t>
    </r>
    <r>
      <rPr>
        <sz val="10"/>
        <rFont val="Arial"/>
        <family val="0"/>
      </rPr>
      <t xml:space="preserve">- </t>
    </r>
  </si>
  <si>
    <t>Ouvrez le volet "Etude" et choisissez la classe d'étude qui répond le mieux à votre exigence ou votre budget. Laissez-vous guider par les rubriques-conseil figurant à droite de la page. Sélectionnez les options qui vous paraissent utiles. Le prix de l'étude apparaît en bas de page.</t>
  </si>
  <si>
    <t>Cliquez ici</t>
  </si>
  <si>
    <t>"Isolation" et "Correction". Sauvegardez le fichier et envoyez-le en pièce jointe à notre service études :</t>
  </si>
  <si>
    <t>N'oubliez pas d'indiquer vos coordonnées dans le tableau ci-dessous, afin que nous puissions personaliser votre projet et éventuellement vous contacter. Vous recevrez une réponse sous 48 à 72 heures.</t>
  </si>
  <si>
    <t>Les informations recueillies restent confidentielles.</t>
  </si>
  <si>
    <t xml:space="preserve">* </t>
  </si>
  <si>
    <t>Caractéristiques dimensionnelles communes à tous les modules :</t>
  </si>
  <si>
    <r>
      <t>ETUDE,</t>
    </r>
    <r>
      <rPr>
        <i/>
        <sz val="11"/>
        <rFont val="Arial"/>
        <family val="2"/>
      </rPr>
      <t xml:space="preserve"> </t>
    </r>
    <r>
      <rPr>
        <b/>
        <i/>
        <sz val="11"/>
        <color indexed="10"/>
        <rFont val="Arial"/>
        <family val="2"/>
      </rPr>
      <t>ISOLATION,</t>
    </r>
    <r>
      <rPr>
        <sz val="11"/>
        <rFont val="Arial"/>
        <family val="2"/>
      </rPr>
      <t xml:space="preserve"> </t>
    </r>
    <r>
      <rPr>
        <b/>
        <i/>
        <sz val="11"/>
        <color indexed="10"/>
        <rFont val="Arial"/>
        <family val="2"/>
      </rPr>
      <t>CORRECTION</t>
    </r>
  </si>
  <si>
    <t>Données nécessaires pour établir et recevoir l'estimation.</t>
  </si>
  <si>
    <r>
      <t>Localité-Ville</t>
    </r>
    <r>
      <rPr>
        <i/>
        <sz val="10"/>
        <color indexed="10"/>
        <rFont val="Arial"/>
        <family val="2"/>
      </rPr>
      <t>*</t>
    </r>
  </si>
  <si>
    <t>Parement triple épaisseur, joints décalés, masse visco élastique lourde, semelle étanche.</t>
  </si>
  <si>
    <t>Structure autoportante, entièrement désolidarisée sur plancher flottant, ossature renforcée 90 ou 100mm, montants doublés dos à dos.</t>
  </si>
  <si>
    <t>Performances garanties</t>
  </si>
  <si>
    <t>Vitrages Triplex ou Stadip, mur d'enceintes sur dalle flottante, basstraps et climatisation intégrés.</t>
  </si>
  <si>
    <r>
      <t>l'</t>
    </r>
    <r>
      <rPr>
        <b/>
        <i/>
        <sz val="11"/>
        <color indexed="10"/>
        <rFont val="Arial"/>
        <family val="2"/>
      </rPr>
      <t>ETUDE ACOUSTIQUE</t>
    </r>
    <r>
      <rPr>
        <sz val="11"/>
        <rFont val="Arial"/>
        <family val="2"/>
      </rPr>
      <t xml:space="preserve"> de l' </t>
    </r>
    <r>
      <rPr>
        <b/>
        <i/>
        <sz val="11"/>
        <color indexed="10"/>
        <rFont val="Arial"/>
        <family val="2"/>
      </rPr>
      <t>ISOLATION</t>
    </r>
    <r>
      <rPr>
        <b/>
        <sz val="11"/>
        <rFont val="Arial"/>
        <family val="2"/>
      </rPr>
      <t xml:space="preserve"> </t>
    </r>
    <r>
      <rPr>
        <sz val="11"/>
        <rFont val="Arial"/>
        <family val="2"/>
      </rPr>
      <t>et de la</t>
    </r>
    <r>
      <rPr>
        <b/>
        <sz val="11"/>
        <rFont val="Arial"/>
        <family val="2"/>
      </rPr>
      <t xml:space="preserve"> </t>
    </r>
    <r>
      <rPr>
        <b/>
        <i/>
        <sz val="11"/>
        <color indexed="10"/>
        <rFont val="Arial"/>
        <family val="2"/>
      </rPr>
      <t>CORRECTION</t>
    </r>
  </si>
  <si>
    <t xml:space="preserve">Déterminez vous-même le prix de </t>
  </si>
  <si>
    <r>
      <t xml:space="preserve">Cette feuille de calcul, permet d'obtenir instantanément </t>
    </r>
    <r>
      <rPr>
        <b/>
        <i/>
        <sz val="10"/>
        <rFont val="Arial"/>
        <family val="2"/>
      </rPr>
      <t>le prix de l'étude, du tracé des plans</t>
    </r>
    <r>
      <rPr>
        <sz val="10"/>
        <rFont val="Arial"/>
        <family val="2"/>
      </rPr>
      <t xml:space="preserve"> des </t>
    </r>
    <r>
      <rPr>
        <b/>
        <i/>
        <sz val="10"/>
        <rFont val="Arial"/>
        <family val="2"/>
      </rPr>
      <t>travaux de construction</t>
    </r>
    <r>
      <rPr>
        <sz val="10"/>
        <rFont val="Arial"/>
        <family val="2"/>
      </rPr>
      <t xml:space="preserve"> et de correction d'un local d'écoute ou de production sonore, à usage professionnel ou privé. Un didactitiel vous aide pour chacune des pages à renseigner.</t>
    </r>
  </si>
  <si>
    <r>
      <t xml:space="preserve">Détail des prestations sélectionnées. </t>
    </r>
    <r>
      <rPr>
        <i/>
        <sz val="9"/>
        <color indexed="16"/>
        <rFont val="Arial"/>
        <family val="2"/>
      </rPr>
      <t>Glissez la souris sur les rubriques pour lire les commentaires.</t>
    </r>
  </si>
  <si>
    <r>
      <t xml:space="preserve"> €  </t>
    </r>
    <r>
      <rPr>
        <b/>
        <sz val="10"/>
        <rFont val="Arial"/>
        <family val="2"/>
      </rPr>
      <t>T.T.C</t>
    </r>
  </si>
  <si>
    <r>
      <t xml:space="preserve"> €  </t>
    </r>
    <r>
      <rPr>
        <b/>
        <sz val="10"/>
        <rFont val="Arial"/>
        <family val="2"/>
      </rPr>
      <t>hors taxes</t>
    </r>
  </si>
  <si>
    <r>
      <t xml:space="preserve"> € </t>
    </r>
    <r>
      <rPr>
        <b/>
        <sz val="10"/>
        <rFont val="Arial"/>
        <family val="2"/>
      </rPr>
      <t xml:space="preserve"> hors taxes</t>
    </r>
  </si>
  <si>
    <t xml:space="preserve"> € TTC</t>
  </si>
  <si>
    <t>3) Sélectionnez la forme du plafond. Référez vous aux modèles 6 à 9 sur le dessin en bas de la page.</t>
  </si>
  <si>
    <t>Il est impossible de donner une liste exacte des matériaux et des dispositifs de correction tant que l'étude n'a pas été effectuée.</t>
  </si>
  <si>
    <t>Remarque importante</t>
  </si>
  <si>
    <r>
      <t xml:space="preserve">Nous pouvons établir un descriptif et un devis précis, d'après une pré-étude </t>
    </r>
    <r>
      <rPr>
        <i/>
        <sz val="10"/>
        <rFont val="Arial"/>
        <family val="2"/>
      </rPr>
      <t>(option payante, déductible du prix de l'étude).</t>
    </r>
  </si>
  <si>
    <t>Dalle flottante</t>
  </si>
  <si>
    <t xml:space="preserve">Si vous désirez obtenir un descriptif détaillé et une estimation écrite du coût de construction, renseignez les volets </t>
  </si>
  <si>
    <r>
      <t xml:space="preserve">Cliquez sur le volet "Dimensions" en bas à gauche de l'écran. Dans la page qui s'ouvre, choisissez l'affectation des locaux en fonction de l'application souhaitée. Précisez la géométrie de chaque pièce en vous aidant des dessins en bas de page. Entrez les dimensions dans chaque case comportant à droite, une lettre "m" </t>
    </r>
    <r>
      <rPr>
        <i/>
        <sz val="10"/>
        <rFont val="Arial"/>
        <family val="2"/>
      </rPr>
      <t>(pour mètre)</t>
    </r>
    <r>
      <rPr>
        <sz val="10"/>
        <rFont val="Arial"/>
        <family val="2"/>
      </rPr>
      <t>.</t>
    </r>
  </si>
  <si>
    <t>Etude Premium</t>
  </si>
  <si>
    <t>Etude Excellence</t>
  </si>
  <si>
    <t>Renforcé</t>
  </si>
  <si>
    <t>Green Glue</t>
  </si>
  <si>
    <t>Ex</t>
  </si>
  <si>
    <t>Pr</t>
  </si>
  <si>
    <t>St</t>
  </si>
  <si>
    <t>Madex/GG</t>
  </si>
  <si>
    <t>Détermination de l'isolement existant</t>
  </si>
  <si>
    <t>Cacul de l'isolement requis</t>
  </si>
  <si>
    <t>Calcul des affaiblissements</t>
  </si>
  <si>
    <t>Doublages verticaux</t>
  </si>
  <si>
    <t>Modélisation ISO</t>
  </si>
  <si>
    <t>Pièce principale</t>
  </si>
  <si>
    <t>Edition du dossier d'études</t>
  </si>
  <si>
    <t>Auralisation sur CD</t>
  </si>
  <si>
    <t>Standard (St)</t>
  </si>
  <si>
    <t>Premium (Pr)</t>
  </si>
  <si>
    <t>Excellence (Ex)</t>
  </si>
  <si>
    <t>Enceintes (E)</t>
  </si>
  <si>
    <t>Suivi de chantier (visites)</t>
  </si>
  <si>
    <t>Modélisation ISO (Premium)</t>
  </si>
  <si>
    <t>┌</t>
  </si>
  <si>
    <t>└</t>
  </si>
  <si>
    <t>├</t>
  </si>
  <si>
    <t>Pièces voisines (nombre)</t>
  </si>
  <si>
    <t>Plans de construction (isolation)</t>
  </si>
  <si>
    <t>Pièces mitoyennes</t>
  </si>
  <si>
    <t>L'option ISO (formule premium) inclut la modélisation des pièces adjacentes à la pièce principale, Elle mermet de déterminer le niveau d'émergence dans les pièces voisines, aux étages supérieurs et inférieurs ainsi que le niveau de nuisance en provenance de ces mêmes pièces. Le nombrec de pièces n'est pas limité.</t>
  </si>
  <si>
    <t>Les visites de chantier ne sont pas imposées. Leur nombre n'est pas limité. Le coût de l'option n'est applicable que pour la région Parisienne (50km). Une cotation spécifique existe pour les déplacements en Province ou à l'étranger (nous consulter).</t>
  </si>
  <si>
    <t>Elle permet de fixer un ordre de grandeur du prix maximal dans le cadre d'une réalisation conforme à la classe choisie.</t>
  </si>
  <si>
    <t>L'estimation ci-dessus est établie d'après le volume du local, son affectation, ses proportions géométriques, la classe et les options retenues.</t>
  </si>
  <si>
    <t>p</t>
  </si>
  <si>
    <t>et laine 30mm</t>
  </si>
  <si>
    <r>
      <t xml:space="preserve">En complément de l'étude standard, cette formule ajoute de nouveaux plans parmi lesquels le détail des parois, des ouvertures, la distribution du circuit électrique, les gaines de ventilation, le plafond suspendu, le traitement des surfaces ainsi que les méthodes de montage ou de construction. Un dossier séparé fournit le calcul de l'affaiblissement des parois, la cartographie des modes stationnaires, les courbes de réverbération et d'optimisation du placement des enceintes.           </t>
    </r>
    <r>
      <rPr>
        <i/>
        <sz val="10"/>
        <color indexed="23"/>
        <rFont val="Arial"/>
        <family val="2"/>
      </rPr>
      <t>Inclut les modules 1à13, 20-21-22-24, 31-32, 46-47-67</t>
    </r>
  </si>
  <si>
    <t>Cette option est destinée aux réalisations de qualité professionnelle où le degré d'exigence est placé au plus haut niveau. L'étude, très complète intègre des centaines de paramètres et fait appel aux logiciels les plus sophisiqués. Elle inclut la modélisation des enceintes, l'analyse détaillée des réflexions sur les parois et sur le mobilier par lancer de rayon (ray-tracing), les courbes de réverbération, les figures d'intelligilibilité et la cartographie des zones de pression. Toutes les options sont incluses, y compris la représentation photoréaliste de chaque pièce.</t>
  </si>
  <si>
    <t>Les plans de détails rassemblent, les dessins, le descriptif, la méthode d'assemblage et de mise en œuvre d'un type de paroi ou d'un élément d'isolation. Ils sont élaborés à la demande en fonction des contraintes spécifiques du projet.</t>
  </si>
  <si>
    <t>Etude Kit Akustar</t>
  </si>
  <si>
    <t>Cette formule à prix réduit s'adresse à l'intégration des kits de correction Akustar pour le Home studio, Home-Cinéma et Auditorium Hifi et/ou l'isolation des locaux. Les informations pratiques sont regroupées sur un ou plusieurs plans comprenant pour chaque pièce une vue de dessus, 2 élévations, la cotation dimensionnelle. Cette formule prend en compte des paramètres acoustiques avancés comme les résonances modales, le placement des enceintes (pour les pièces qui en sont équippées) la dispostion des éléments et les modules proconisés pour atteindre les performances compatibles avec l'application.</t>
  </si>
  <si>
    <t>Kit Akustar</t>
  </si>
  <si>
    <t>Custom</t>
  </si>
  <si>
    <t>Détaillée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</si>
</sst>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d\ mmmm\ yyyy"/>
    <numFmt numFmtId="174" formatCode="[$-40C]d\ mmmm\ yyyy;@"/>
  </numFmts>
  <fonts count="96">
    <font>
      <sz val="10"/>
      <name val="Arial"/>
      <family val="0"/>
    </font>
    <font>
      <b/>
      <sz val="10"/>
      <name val="Arial"/>
      <family val="2"/>
    </font>
    <font>
      <b/>
      <sz val="11"/>
      <color indexed="10"/>
      <name val="Arial"/>
      <family val="2"/>
    </font>
    <font>
      <sz val="9"/>
      <name val="Arial Narrow"/>
      <family val="2"/>
    </font>
    <font>
      <b/>
      <sz val="11"/>
      <name val="Arial"/>
      <family val="2"/>
    </font>
    <font>
      <b/>
      <sz val="11"/>
      <color indexed="12"/>
      <name val="Arial"/>
      <family val="2"/>
    </font>
    <font>
      <sz val="8"/>
      <name val="Tahoma"/>
      <family val="2"/>
    </font>
    <font>
      <sz val="11"/>
      <name val="Arial"/>
      <family val="2"/>
    </font>
    <font>
      <sz val="10"/>
      <color indexed="22"/>
      <name val="Arial"/>
      <family val="2"/>
    </font>
    <font>
      <i/>
      <sz val="10"/>
      <name val="Arial"/>
      <family val="2"/>
    </font>
    <font>
      <b/>
      <sz val="12"/>
      <name val="Arial"/>
      <family val="2"/>
    </font>
    <font>
      <b/>
      <sz val="12"/>
      <color indexed="10"/>
      <name val="Arial"/>
      <family val="2"/>
    </font>
    <font>
      <b/>
      <sz val="10"/>
      <color indexed="10"/>
      <name val="Arial"/>
      <family val="2"/>
    </font>
    <font>
      <sz val="10"/>
      <color indexed="23"/>
      <name val="Arial"/>
      <family val="2"/>
    </font>
    <font>
      <sz val="8"/>
      <color indexed="22"/>
      <name val="Arial"/>
      <family val="2"/>
    </font>
    <font>
      <i/>
      <sz val="8"/>
      <color indexed="23"/>
      <name val="Arial"/>
      <family val="2"/>
    </font>
    <font>
      <b/>
      <sz val="10"/>
      <color indexed="22"/>
      <name val="Arial"/>
      <family val="2"/>
    </font>
    <font>
      <i/>
      <sz val="11"/>
      <name val="Arial"/>
      <family val="2"/>
    </font>
    <font>
      <b/>
      <i/>
      <sz val="11"/>
      <name val="Arial"/>
      <family val="2"/>
    </font>
    <font>
      <i/>
      <sz val="9"/>
      <color indexed="63"/>
      <name val="Arial"/>
      <family val="2"/>
    </font>
    <font>
      <sz val="10"/>
      <color indexed="17"/>
      <name val="Arial"/>
      <family val="2"/>
    </font>
    <font>
      <sz val="10"/>
      <color indexed="12"/>
      <name val="Arial"/>
      <family val="2"/>
    </font>
    <font>
      <sz val="11"/>
      <color indexed="10"/>
      <name val="Arial"/>
      <family val="2"/>
    </font>
    <font>
      <b/>
      <sz val="10"/>
      <color indexed="12"/>
      <name val="Arial"/>
      <family val="2"/>
    </font>
    <font>
      <sz val="10"/>
      <color indexed="53"/>
      <name val="Arial"/>
      <family val="2"/>
    </font>
    <font>
      <sz val="9"/>
      <name val="Arial"/>
      <family val="2"/>
    </font>
    <font>
      <sz val="10"/>
      <color indexed="10"/>
      <name val="Arial"/>
      <family val="2"/>
    </font>
    <font>
      <b/>
      <i/>
      <sz val="10"/>
      <name val="Arial"/>
      <family val="2"/>
    </font>
    <font>
      <sz val="8"/>
      <color indexed="10"/>
      <name val="Arial"/>
      <family val="0"/>
    </font>
    <font>
      <i/>
      <sz val="8"/>
      <name val="Arial"/>
      <family val="2"/>
    </font>
    <font>
      <b/>
      <sz val="10"/>
      <name val="Tahoma"/>
      <family val="2"/>
    </font>
    <font>
      <sz val="10"/>
      <color indexed="16"/>
      <name val="Tahoma"/>
      <family val="2"/>
    </font>
    <font>
      <sz val="9"/>
      <name val="Tahoma"/>
      <family val="2"/>
    </font>
    <font>
      <b/>
      <sz val="9"/>
      <name val="Tahoma"/>
      <family val="2"/>
    </font>
    <font>
      <sz val="9"/>
      <color indexed="16"/>
      <name val="Tahoma"/>
      <family val="2"/>
    </font>
    <font>
      <sz val="11"/>
      <color indexed="17"/>
      <name val="Arial"/>
      <family val="2"/>
    </font>
    <font>
      <vertAlign val="superscript"/>
      <sz val="9"/>
      <name val="Arial"/>
      <family val="2"/>
    </font>
    <font>
      <sz val="10"/>
      <color indexed="55"/>
      <name val="Arial"/>
      <family val="0"/>
    </font>
    <font>
      <i/>
      <sz val="9"/>
      <name val="Tahoma"/>
      <family val="2"/>
    </font>
    <font>
      <sz val="10"/>
      <color indexed="63"/>
      <name val="Arial"/>
      <family val="2"/>
    </font>
    <font>
      <b/>
      <sz val="10"/>
      <color indexed="63"/>
      <name val="Arial"/>
      <family val="2"/>
    </font>
    <font>
      <i/>
      <sz val="10"/>
      <color indexed="63"/>
      <name val="Arial"/>
      <family val="2"/>
    </font>
    <font>
      <i/>
      <sz val="9"/>
      <color indexed="16"/>
      <name val="Arial"/>
      <family val="2"/>
    </font>
    <font>
      <sz val="10"/>
      <color indexed="16"/>
      <name val="Arial"/>
      <family val="2"/>
    </font>
    <font>
      <sz val="10"/>
      <name val="Tahoma"/>
      <family val="2"/>
    </font>
    <font>
      <i/>
      <sz val="10"/>
      <color indexed="23"/>
      <name val="Arial"/>
      <family val="2"/>
    </font>
    <font>
      <b/>
      <sz val="9"/>
      <color indexed="10"/>
      <name val="Arial"/>
      <family val="2"/>
    </font>
    <font>
      <i/>
      <sz val="9"/>
      <name val="Arial"/>
      <family val="2"/>
    </font>
    <font>
      <i/>
      <sz val="10"/>
      <color indexed="16"/>
      <name val="Arial"/>
      <family val="2"/>
    </font>
    <font>
      <b/>
      <i/>
      <sz val="11"/>
      <color indexed="10"/>
      <name val="Arial"/>
      <family val="2"/>
    </font>
    <font>
      <b/>
      <i/>
      <u val="single"/>
      <sz val="12"/>
      <color indexed="10"/>
      <name val="Arial"/>
      <family val="2"/>
    </font>
    <font>
      <b/>
      <i/>
      <sz val="12"/>
      <color indexed="10"/>
      <name val="Arial"/>
      <family val="2"/>
    </font>
    <font>
      <sz val="11"/>
      <color indexed="12"/>
      <name val="Arial"/>
      <family val="2"/>
    </font>
    <font>
      <vertAlign val="superscript"/>
      <sz val="10"/>
      <name val="Arial"/>
      <family val="2"/>
    </font>
    <font>
      <i/>
      <sz val="10"/>
      <color indexed="55"/>
      <name val="Arial"/>
      <family val="2"/>
    </font>
    <font>
      <i/>
      <sz val="10"/>
      <color indexed="12"/>
      <name val="Arial"/>
      <family val="2"/>
    </font>
    <font>
      <i/>
      <u val="single"/>
      <sz val="10"/>
      <color indexed="12"/>
      <name val="Arial"/>
      <family val="2"/>
    </font>
    <font>
      <sz val="10"/>
      <color indexed="14"/>
      <name val="Arial"/>
      <family val="0"/>
    </font>
    <font>
      <b/>
      <sz val="10"/>
      <color indexed="14"/>
      <name val="Arial"/>
      <family val="2"/>
    </font>
    <font>
      <b/>
      <u val="single"/>
      <sz val="10"/>
      <color indexed="10"/>
      <name val="Arial"/>
      <family val="2"/>
    </font>
    <font>
      <b/>
      <i/>
      <sz val="10"/>
      <color indexed="17"/>
      <name val="Arial"/>
      <family val="2"/>
    </font>
    <font>
      <b/>
      <sz val="12"/>
      <color indexed="15"/>
      <name val="Arial"/>
      <family val="2"/>
    </font>
    <font>
      <sz val="10"/>
      <color indexed="15"/>
      <name val="Arial"/>
      <family val="2"/>
    </font>
    <font>
      <b/>
      <sz val="10"/>
      <color indexed="15"/>
      <name val="Arial"/>
      <family val="2"/>
    </font>
    <font>
      <b/>
      <sz val="12"/>
      <color indexed="14"/>
      <name val="Arial"/>
      <family val="2"/>
    </font>
    <font>
      <sz val="12"/>
      <name val="Arial"/>
      <family val="2"/>
    </font>
    <font>
      <sz val="11"/>
      <color indexed="23"/>
      <name val="Arial"/>
      <family val="0"/>
    </font>
    <font>
      <sz val="9"/>
      <color indexed="10"/>
      <name val="Arial"/>
      <family val="2"/>
    </font>
    <font>
      <b/>
      <i/>
      <sz val="9"/>
      <color indexed="22"/>
      <name val="Arial"/>
      <family val="0"/>
    </font>
    <font>
      <b/>
      <sz val="10"/>
      <color indexed="55"/>
      <name val="Arial"/>
      <family val="0"/>
    </font>
    <font>
      <b/>
      <sz val="10"/>
      <color indexed="17"/>
      <name val="Arial"/>
      <family val="2"/>
    </font>
    <font>
      <u val="single"/>
      <sz val="10"/>
      <color indexed="12"/>
      <name val="Arial"/>
      <family val="0"/>
    </font>
    <font>
      <i/>
      <sz val="10"/>
      <color indexed="10"/>
      <name val="Arial"/>
      <family val="2"/>
    </font>
    <font>
      <b/>
      <i/>
      <sz val="12"/>
      <name val="Arial"/>
      <family val="2"/>
    </font>
    <font>
      <u val="single"/>
      <sz val="10"/>
      <color indexed="36"/>
      <name val="Arial"/>
      <family val="0"/>
    </font>
    <font>
      <u val="single"/>
      <sz val="10"/>
      <name val="Arial"/>
      <family val="0"/>
    </font>
    <font>
      <i/>
      <sz val="9"/>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0"/>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3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5" borderId="0" applyNumberFormat="0" applyBorder="0" applyAlignment="0" applyProtection="0"/>
    <xf numFmtId="0" fontId="93" fillId="8" borderId="0" applyNumberFormat="0" applyBorder="0" applyAlignment="0" applyProtection="0"/>
    <xf numFmtId="0" fontId="93" fillId="11" borderId="0" applyNumberFormat="0" applyBorder="0" applyAlignment="0" applyProtection="0"/>
    <xf numFmtId="0" fontId="92" fillId="12"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3" borderId="0" applyNumberFormat="0" applyBorder="0" applyAlignment="0" applyProtection="0"/>
    <xf numFmtId="0" fontId="92" fillId="14" borderId="0" applyNumberFormat="0" applyBorder="0" applyAlignment="0" applyProtection="0"/>
    <xf numFmtId="0" fontId="92" fillId="19" borderId="0" applyNumberFormat="0" applyBorder="0" applyAlignment="0" applyProtection="0"/>
    <xf numFmtId="0" fontId="89" fillId="0" borderId="0" applyNumberFormat="0" applyFill="0" applyBorder="0" applyAlignment="0" applyProtection="0"/>
    <xf numFmtId="0" fontId="86" fillId="20" borderId="1" applyNumberFormat="0" applyAlignment="0" applyProtection="0"/>
    <xf numFmtId="0" fontId="87" fillId="0" borderId="2" applyNumberFormat="0" applyFill="0" applyAlignment="0" applyProtection="0"/>
    <xf numFmtId="0" fontId="0" fillId="21" borderId="3" applyNumberFormat="0" applyFont="0" applyAlignment="0" applyProtection="0"/>
    <xf numFmtId="0" fontId="84" fillId="7" borderId="1" applyNumberFormat="0" applyAlignment="0" applyProtection="0"/>
    <xf numFmtId="0" fontId="82" fillId="3" borderId="0" applyNumberFormat="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22" borderId="0" applyNumberFormat="0" applyBorder="0" applyAlignment="0" applyProtection="0"/>
    <xf numFmtId="9" fontId="0" fillId="0" borderId="0" applyFont="0" applyFill="0" applyBorder="0" applyAlignment="0" applyProtection="0"/>
    <xf numFmtId="0" fontId="81" fillId="4" borderId="0" applyNumberFormat="0" applyBorder="0" applyAlignment="0" applyProtection="0"/>
    <xf numFmtId="0" fontId="85" fillId="20" borderId="4" applyNumberFormat="0" applyAlignment="0" applyProtection="0"/>
    <xf numFmtId="0" fontId="90" fillId="0" borderId="0" applyNumberFormat="0" applyFill="0" applyBorder="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91" fillId="0" borderId="8" applyNumberFormat="0" applyFill="0" applyAlignment="0" applyProtection="0"/>
    <xf numFmtId="0" fontId="88" fillId="23" borderId="9" applyNumberFormat="0" applyAlignment="0" applyProtection="0"/>
  </cellStyleXfs>
  <cellXfs count="457">
    <xf numFmtId="0" fontId="0" fillId="0" borderId="0" xfId="0" applyAlignment="1">
      <alignment/>
    </xf>
    <xf numFmtId="0" fontId="0" fillId="20" borderId="0" xfId="0" applyFill="1" applyAlignment="1">
      <alignment/>
    </xf>
    <xf numFmtId="0" fontId="1" fillId="20" borderId="0" xfId="0" applyFont="1" applyFill="1" applyAlignment="1">
      <alignment/>
    </xf>
    <xf numFmtId="0" fontId="0" fillId="20" borderId="0" xfId="0" applyFill="1" applyAlignment="1" applyProtection="1">
      <alignment/>
      <protection hidden="1"/>
    </xf>
    <xf numFmtId="0" fontId="7" fillId="20" borderId="0" xfId="0" applyFont="1" applyFill="1" applyAlignment="1" applyProtection="1">
      <alignment horizontal="center"/>
      <protection hidden="1"/>
    </xf>
    <xf numFmtId="0" fontId="8" fillId="20" borderId="0" xfId="0" applyFont="1" applyFill="1" applyAlignment="1" applyProtection="1">
      <alignment/>
      <protection hidden="1"/>
    </xf>
    <xf numFmtId="0" fontId="0" fillId="20" borderId="0" xfId="0" applyFont="1" applyFill="1" applyAlignment="1" applyProtection="1">
      <alignment horizontal="center"/>
      <protection hidden="1"/>
    </xf>
    <xf numFmtId="0" fontId="0" fillId="20" borderId="0" xfId="0" applyFill="1" applyBorder="1" applyAlignment="1" applyProtection="1">
      <alignment/>
      <protection hidden="1"/>
    </xf>
    <xf numFmtId="0" fontId="7" fillId="20" borderId="0" xfId="0" applyFont="1" applyFill="1" applyAlignment="1" applyProtection="1">
      <alignment/>
      <protection hidden="1"/>
    </xf>
    <xf numFmtId="0" fontId="15" fillId="20" borderId="0" xfId="0" applyFont="1" applyFill="1" applyAlignment="1" applyProtection="1">
      <alignment vertical="top"/>
      <protection hidden="1"/>
    </xf>
    <xf numFmtId="0" fontId="14" fillId="20" borderId="0" xfId="0" applyFont="1" applyFill="1" applyBorder="1" applyAlignment="1" applyProtection="1">
      <alignment/>
      <protection hidden="1"/>
    </xf>
    <xf numFmtId="0" fontId="8" fillId="20" borderId="0" xfId="0" applyFont="1" applyFill="1" applyBorder="1" applyAlignment="1" applyProtection="1">
      <alignment/>
      <protection hidden="1"/>
    </xf>
    <xf numFmtId="0" fontId="0" fillId="20" borderId="0" xfId="0" applyFill="1" applyAlignment="1" applyProtection="1">
      <alignment horizontal="right"/>
      <protection hidden="1"/>
    </xf>
    <xf numFmtId="0" fontId="1" fillId="20" borderId="0" xfId="0" applyFont="1" applyFill="1" applyAlignment="1" applyProtection="1">
      <alignment/>
      <protection hidden="1"/>
    </xf>
    <xf numFmtId="0" fontId="12" fillId="20" borderId="0" xfId="0" applyFont="1" applyFill="1" applyAlignment="1" applyProtection="1">
      <alignment horizontal="center"/>
      <protection hidden="1"/>
    </xf>
    <xf numFmtId="172" fontId="13" fillId="20" borderId="0" xfId="0" applyNumberFormat="1" applyFont="1" applyFill="1" applyAlignment="1" applyProtection="1">
      <alignment horizontal="right"/>
      <protection hidden="1"/>
    </xf>
    <xf numFmtId="0" fontId="1" fillId="20" borderId="0" xfId="0" applyFont="1" applyFill="1" applyAlignment="1" applyProtection="1">
      <alignment horizontal="center"/>
      <protection hidden="1"/>
    </xf>
    <xf numFmtId="0" fontId="9" fillId="20" borderId="0" xfId="0" applyFont="1" applyFill="1" applyAlignment="1" applyProtection="1">
      <alignment/>
      <protection hidden="1"/>
    </xf>
    <xf numFmtId="0" fontId="0" fillId="20" borderId="0" xfId="0" applyFont="1" applyFill="1" applyAlignment="1" applyProtection="1">
      <alignment/>
      <protection hidden="1"/>
    </xf>
    <xf numFmtId="0" fontId="16" fillId="20" borderId="0" xfId="0" applyFont="1" applyFill="1" applyAlignment="1" applyProtection="1">
      <alignment horizontal="center"/>
      <protection hidden="1"/>
    </xf>
    <xf numFmtId="172" fontId="0" fillId="20" borderId="0" xfId="0" applyNumberFormat="1" applyFill="1" applyBorder="1" applyAlignment="1" applyProtection="1">
      <alignment horizontal="right"/>
      <protection hidden="1"/>
    </xf>
    <xf numFmtId="0" fontId="0" fillId="0" borderId="0" xfId="0" applyFont="1" applyFill="1" applyAlignment="1" applyProtection="1">
      <alignment/>
      <protection hidden="1"/>
    </xf>
    <xf numFmtId="0" fontId="7" fillId="0" borderId="0" xfId="0" applyFont="1" applyFill="1" applyAlignment="1">
      <alignment/>
    </xf>
    <xf numFmtId="0" fontId="0" fillId="0" borderId="0" xfId="0" applyFont="1" applyFill="1" applyAlignment="1" applyProtection="1">
      <alignment/>
      <protection hidden="1"/>
    </xf>
    <xf numFmtId="172" fontId="0" fillId="0" borderId="0" xfId="0" applyNumberFormat="1" applyFont="1" applyFill="1" applyAlignment="1" applyProtection="1">
      <alignment/>
      <protection hidden="1"/>
    </xf>
    <xf numFmtId="1" fontId="0" fillId="0" borderId="0" xfId="0" applyNumberFormat="1" applyFont="1" applyFill="1" applyAlignment="1" applyProtection="1">
      <alignment/>
      <protection hidden="1"/>
    </xf>
    <xf numFmtId="0" fontId="3" fillId="0" borderId="0" xfId="0" applyFont="1" applyFill="1" applyAlignment="1" applyProtection="1">
      <alignment/>
      <protection hidden="1"/>
    </xf>
    <xf numFmtId="0" fontId="1" fillId="20" borderId="0" xfId="0" applyFont="1" applyFill="1" applyAlignment="1">
      <alignment vertical="top"/>
    </xf>
    <xf numFmtId="0" fontId="4" fillId="0" borderId="0" xfId="0" applyFont="1" applyAlignment="1">
      <alignment/>
    </xf>
    <xf numFmtId="0" fontId="1" fillId="0" borderId="0" xfId="0" applyFont="1" applyAlignment="1">
      <alignment/>
    </xf>
    <xf numFmtId="0" fontId="0" fillId="0" borderId="0" xfId="0" applyFont="1" applyAlignment="1">
      <alignment/>
    </xf>
    <xf numFmtId="0" fontId="7" fillId="0" borderId="0" xfId="0" applyFont="1" applyAlignment="1">
      <alignment/>
    </xf>
    <xf numFmtId="0" fontId="0" fillId="4" borderId="0" xfId="0" applyFont="1" applyFill="1" applyAlignment="1" applyProtection="1">
      <alignment/>
      <protection hidden="1"/>
    </xf>
    <xf numFmtId="0" fontId="0" fillId="4" borderId="0" xfId="0" applyFont="1" applyFill="1" applyAlignment="1" applyProtection="1">
      <alignment/>
      <protection hidden="1"/>
    </xf>
    <xf numFmtId="0" fontId="0" fillId="24" borderId="0" xfId="0" applyFont="1" applyFill="1" applyAlignment="1" applyProtection="1">
      <alignment/>
      <protection hidden="1"/>
    </xf>
    <xf numFmtId="0" fontId="0" fillId="24" borderId="0" xfId="0" applyFont="1" applyFill="1" applyAlignment="1" applyProtection="1">
      <alignment/>
      <protection hidden="1"/>
    </xf>
    <xf numFmtId="0" fontId="21" fillId="0" borderId="0" xfId="0" applyFont="1" applyFill="1" applyAlignment="1" applyProtection="1">
      <alignment/>
      <protection hidden="1"/>
    </xf>
    <xf numFmtId="0" fontId="12" fillId="0" borderId="0" xfId="0" applyFont="1" applyFill="1" applyAlignment="1" applyProtection="1">
      <alignment/>
      <protection hidden="1"/>
    </xf>
    <xf numFmtId="172" fontId="24" fillId="0" borderId="0" xfId="0" applyNumberFormat="1" applyFont="1" applyFill="1" applyAlignment="1" applyProtection="1">
      <alignment/>
      <protection hidden="1"/>
    </xf>
    <xf numFmtId="172" fontId="21" fillId="0" borderId="0" xfId="0" applyNumberFormat="1" applyFont="1" applyFill="1" applyAlignment="1" applyProtection="1">
      <alignment/>
      <protection hidden="1"/>
    </xf>
    <xf numFmtId="1" fontId="26" fillId="0" borderId="0" xfId="0" applyNumberFormat="1" applyFont="1" applyFill="1" applyAlignment="1" applyProtection="1">
      <alignment/>
      <protection hidden="1"/>
    </xf>
    <xf numFmtId="0" fontId="26" fillId="0" borderId="0" xfId="0" applyFont="1" applyFill="1" applyAlignment="1" applyProtection="1">
      <alignment/>
      <protection hidden="1"/>
    </xf>
    <xf numFmtId="0" fontId="1" fillId="22" borderId="0" xfId="0" applyFont="1" applyFill="1" applyAlignment="1" applyProtection="1">
      <alignment/>
      <protection hidden="1"/>
    </xf>
    <xf numFmtId="0" fontId="0" fillId="22" borderId="0" xfId="0" applyFont="1" applyFill="1" applyAlignment="1" applyProtection="1">
      <alignment/>
      <protection hidden="1"/>
    </xf>
    <xf numFmtId="1" fontId="21" fillId="0" borderId="0" xfId="0" applyNumberFormat="1" applyFont="1" applyFill="1" applyAlignment="1" applyProtection="1">
      <alignment/>
      <protection hidden="1"/>
    </xf>
    <xf numFmtId="0" fontId="0" fillId="0" borderId="0" xfId="0" applyFont="1" applyFill="1" applyAlignment="1" applyProtection="1">
      <alignment/>
      <protection hidden="1"/>
    </xf>
    <xf numFmtId="0" fontId="0" fillId="7" borderId="0" xfId="0" applyFont="1" applyFill="1" applyAlignment="1" applyProtection="1">
      <alignment horizontal="center"/>
      <protection hidden="1"/>
    </xf>
    <xf numFmtId="0" fontId="0" fillId="7" borderId="0" xfId="0" applyFont="1" applyFill="1" applyAlignment="1" applyProtection="1">
      <alignment/>
      <protection hidden="1"/>
    </xf>
    <xf numFmtId="2" fontId="0" fillId="0" borderId="0" xfId="0" applyNumberFormat="1" applyAlignment="1">
      <alignment/>
    </xf>
    <xf numFmtId="2" fontId="21" fillId="0" borderId="0" xfId="0" applyNumberFormat="1" applyFont="1" applyAlignment="1">
      <alignment/>
    </xf>
    <xf numFmtId="0" fontId="28" fillId="20" borderId="0" xfId="0" applyFont="1" applyFill="1" applyAlignment="1" applyProtection="1">
      <alignment/>
      <protection hidden="1"/>
    </xf>
    <xf numFmtId="0" fontId="8" fillId="20" borderId="0" xfId="0" applyFont="1" applyFill="1" applyAlignment="1" applyProtection="1">
      <alignment/>
      <protection hidden="1"/>
    </xf>
    <xf numFmtId="0" fontId="7" fillId="20" borderId="0" xfId="0" applyFont="1" applyFill="1" applyAlignment="1" applyProtection="1">
      <alignment horizontal="left"/>
      <protection hidden="1"/>
    </xf>
    <xf numFmtId="172" fontId="5" fillId="20" borderId="0" xfId="0" applyNumberFormat="1" applyFont="1" applyFill="1" applyBorder="1" applyAlignment="1" applyProtection="1">
      <alignment/>
      <protection/>
    </xf>
    <xf numFmtId="0" fontId="15" fillId="20" borderId="0" xfId="0" applyFont="1" applyFill="1" applyAlignment="1" applyProtection="1">
      <alignment/>
      <protection hidden="1"/>
    </xf>
    <xf numFmtId="0" fontId="8" fillId="20" borderId="0" xfId="0" applyFont="1" applyFill="1" applyAlignment="1">
      <alignment/>
    </xf>
    <xf numFmtId="172" fontId="0" fillId="20" borderId="0" xfId="0" applyNumberFormat="1" applyFill="1" applyAlignment="1" applyProtection="1">
      <alignment/>
      <protection hidden="1"/>
    </xf>
    <xf numFmtId="0" fontId="1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1" fillId="0" borderId="0" xfId="0" applyFont="1" applyAlignment="1">
      <alignment vertical="center"/>
    </xf>
    <xf numFmtId="0" fontId="0" fillId="0" borderId="0" xfId="0" applyFont="1" applyAlignment="1">
      <alignment vertical="top"/>
    </xf>
    <xf numFmtId="2" fontId="0" fillId="0" borderId="0" xfId="0" applyNumberFormat="1" applyAlignment="1">
      <alignment horizontal="right"/>
    </xf>
    <xf numFmtId="0" fontId="1" fillId="0" borderId="0" xfId="0" applyFont="1" applyAlignment="1">
      <alignment vertical="top"/>
    </xf>
    <xf numFmtId="2" fontId="0" fillId="0" borderId="0" xfId="0" applyNumberFormat="1" applyFont="1" applyAlignment="1">
      <alignment/>
    </xf>
    <xf numFmtId="0" fontId="0" fillId="0" borderId="0" xfId="0" applyAlignment="1">
      <alignment horizontal="right"/>
    </xf>
    <xf numFmtId="1" fontId="5" fillId="0" borderId="0" xfId="0" applyNumberFormat="1" applyFont="1" applyFill="1" applyAlignment="1">
      <alignment/>
    </xf>
    <xf numFmtId="0" fontId="1" fillId="0" borderId="0" xfId="0" applyFont="1" applyAlignment="1">
      <alignment horizontal="center" vertical="center"/>
    </xf>
    <xf numFmtId="0" fontId="7" fillId="0" borderId="0" xfId="0" applyFont="1" applyAlignment="1">
      <alignment vertical="top"/>
    </xf>
    <xf numFmtId="0" fontId="0" fillId="0" borderId="0" xfId="0" applyFont="1" applyAlignment="1">
      <alignment horizontal="right" vertical="center"/>
    </xf>
    <xf numFmtId="2" fontId="22" fillId="0" borderId="0" xfId="0" applyNumberFormat="1" applyFont="1" applyAlignment="1">
      <alignment/>
    </xf>
    <xf numFmtId="0" fontId="25" fillId="0" borderId="0" xfId="0" applyFont="1" applyAlignment="1">
      <alignment/>
    </xf>
    <xf numFmtId="2" fontId="35" fillId="0" borderId="0" xfId="0" applyNumberFormat="1" applyFont="1" applyAlignment="1">
      <alignment/>
    </xf>
    <xf numFmtId="2" fontId="26" fillId="0" borderId="0" xfId="0" applyNumberFormat="1" applyFont="1" applyAlignment="1">
      <alignment/>
    </xf>
    <xf numFmtId="2" fontId="26" fillId="0" borderId="0" xfId="0" applyNumberFormat="1" applyFont="1" applyAlignment="1">
      <alignment horizontal="right"/>
    </xf>
    <xf numFmtId="2" fontId="0" fillId="0" borderId="0" xfId="0" applyNumberFormat="1" applyFont="1" applyAlignment="1">
      <alignment horizontal="right"/>
    </xf>
    <xf numFmtId="2" fontId="0" fillId="0" borderId="0" xfId="0" applyNumberFormat="1" applyFont="1" applyAlignment="1">
      <alignment horizontal="left"/>
    </xf>
    <xf numFmtId="0" fontId="0" fillId="0" borderId="0" xfId="0" applyFont="1" applyAlignment="1">
      <alignment horizontal="right"/>
    </xf>
    <xf numFmtId="2" fontId="2" fillId="0" borderId="0" xfId="0" applyNumberFormat="1" applyFont="1" applyAlignment="1">
      <alignment/>
    </xf>
    <xf numFmtId="0" fontId="1" fillId="0" borderId="0" xfId="0" applyFont="1" applyFill="1" applyBorder="1" applyAlignment="1">
      <alignment/>
    </xf>
    <xf numFmtId="0" fontId="1" fillId="0" borderId="0" xfId="0" applyFont="1" applyBorder="1" applyAlignment="1">
      <alignment/>
    </xf>
    <xf numFmtId="0" fontId="4" fillId="0" borderId="0" xfId="0" applyFont="1" applyFill="1" applyAlignment="1">
      <alignment/>
    </xf>
    <xf numFmtId="0" fontId="7" fillId="0" borderId="0" xfId="0" applyFont="1" applyFill="1" applyAlignment="1">
      <alignment/>
    </xf>
    <xf numFmtId="1" fontId="13" fillId="20" borderId="0" xfId="0" applyNumberFormat="1" applyFont="1" applyFill="1" applyAlignment="1" applyProtection="1">
      <alignment horizontal="right"/>
      <protection hidden="1"/>
    </xf>
    <xf numFmtId="0" fontId="1" fillId="0" borderId="0" xfId="0" applyFont="1" applyAlignment="1">
      <alignment horizontal="center"/>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3" xfId="0" applyBorder="1" applyAlignment="1">
      <alignment horizontal="center"/>
    </xf>
    <xf numFmtId="0" fontId="0" fillId="0" borderId="14" xfId="0"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17" xfId="0" applyFont="1" applyBorder="1" applyAlignment="1">
      <alignment horizontal="center"/>
    </xf>
    <xf numFmtId="0" fontId="0" fillId="20" borderId="0" xfId="0" applyFill="1" applyBorder="1" applyAlignment="1" applyProtection="1">
      <alignment horizontal="right"/>
      <protection hidden="1"/>
    </xf>
    <xf numFmtId="0" fontId="0" fillId="20" borderId="0" xfId="0" applyFont="1" applyFill="1" applyAlignment="1" applyProtection="1">
      <alignment horizontal="right"/>
      <protection hidden="1"/>
    </xf>
    <xf numFmtId="0" fontId="12" fillId="20" borderId="0" xfId="0" applyFont="1" applyFill="1" applyAlignment="1" applyProtection="1">
      <alignment/>
      <protection hidden="1"/>
    </xf>
    <xf numFmtId="0" fontId="0" fillId="20" borderId="0" xfId="0" applyFill="1" applyBorder="1" applyAlignment="1" applyProtection="1">
      <alignment horizontal="center"/>
      <protection hidden="1"/>
    </xf>
    <xf numFmtId="2" fontId="0" fillId="0" borderId="0" xfId="0" applyNumberFormat="1" applyBorder="1" applyAlignment="1">
      <alignment horizontal="right"/>
    </xf>
    <xf numFmtId="0" fontId="26" fillId="0" borderId="0" xfId="0" applyFont="1" applyAlignment="1">
      <alignment/>
    </xf>
    <xf numFmtId="0" fontId="21" fillId="0" borderId="0" xfId="0" applyFont="1" applyBorder="1" applyAlignment="1">
      <alignment horizontal="center"/>
    </xf>
    <xf numFmtId="0" fontId="0" fillId="0" borderId="0" xfId="0" applyFill="1" applyBorder="1" applyAlignment="1">
      <alignment/>
    </xf>
    <xf numFmtId="0" fontId="21" fillId="0" borderId="0" xfId="0" applyFont="1" applyAlignment="1">
      <alignment/>
    </xf>
    <xf numFmtId="0" fontId="21" fillId="0" borderId="0" xfId="0" applyFont="1" applyAlignment="1">
      <alignment horizontal="right"/>
    </xf>
    <xf numFmtId="2" fontId="12" fillId="0" borderId="0" xfId="0" applyNumberFormat="1" applyFont="1" applyAlignment="1">
      <alignment/>
    </xf>
    <xf numFmtId="2" fontId="21" fillId="0" borderId="0" xfId="0" applyNumberFormat="1" applyFont="1" applyAlignment="1">
      <alignment/>
    </xf>
    <xf numFmtId="2" fontId="21" fillId="0" borderId="0" xfId="0" applyNumberFormat="1" applyFont="1" applyAlignment="1">
      <alignment horizontal="right"/>
    </xf>
    <xf numFmtId="0" fontId="0" fillId="0" borderId="0" xfId="0" applyAlignment="1" quotePrefix="1">
      <alignment/>
    </xf>
    <xf numFmtId="0" fontId="37" fillId="0" borderId="0" xfId="0" applyFont="1" applyBorder="1" applyAlignment="1">
      <alignment horizontal="center"/>
    </xf>
    <xf numFmtId="0" fontId="0" fillId="20" borderId="0" xfId="0" applyFill="1" applyAlignment="1" applyProtection="1">
      <alignment horizontal="center"/>
      <protection hidden="1"/>
    </xf>
    <xf numFmtId="0" fontId="2" fillId="20" borderId="0" xfId="0" applyFont="1" applyFill="1" applyAlignment="1" applyProtection="1">
      <alignment horizontal="left"/>
      <protection hidden="1"/>
    </xf>
    <xf numFmtId="0" fontId="1" fillId="20" borderId="0" xfId="0" applyFont="1" applyFill="1" applyBorder="1" applyAlignment="1" applyProtection="1">
      <alignment/>
      <protection hidden="1"/>
    </xf>
    <xf numFmtId="0" fontId="12" fillId="20" borderId="0" xfId="0" applyFont="1" applyFill="1" applyBorder="1" applyAlignment="1" applyProtection="1">
      <alignment horizontal="center"/>
      <protection hidden="1"/>
    </xf>
    <xf numFmtId="0" fontId="12" fillId="20" borderId="0" xfId="0" applyFont="1" applyFill="1" applyBorder="1" applyAlignment="1" applyProtection="1">
      <alignment horizontal="right"/>
      <protection hidden="1"/>
    </xf>
    <xf numFmtId="0" fontId="0" fillId="20" borderId="0" xfId="0" applyFill="1" applyBorder="1" applyAlignment="1">
      <alignment/>
    </xf>
    <xf numFmtId="1" fontId="5" fillId="20" borderId="0" xfId="0" applyNumberFormat="1" applyFont="1" applyFill="1" applyBorder="1" applyAlignment="1" applyProtection="1">
      <alignment horizontal="right"/>
      <protection/>
    </xf>
    <xf numFmtId="172" fontId="0" fillId="20" borderId="0" xfId="0" applyNumberFormat="1" applyFill="1" applyBorder="1" applyAlignment="1" applyProtection="1">
      <alignment horizontal="right"/>
      <protection/>
    </xf>
    <xf numFmtId="1" fontId="0" fillId="20" borderId="0" xfId="0" applyNumberFormat="1" applyFill="1" applyBorder="1" applyAlignment="1" applyProtection="1">
      <alignment horizontal="right"/>
      <protection/>
    </xf>
    <xf numFmtId="0" fontId="41" fillId="20" borderId="0" xfId="0" applyFont="1" applyFill="1" applyAlignment="1" applyProtection="1">
      <alignment/>
      <protection hidden="1"/>
    </xf>
    <xf numFmtId="0" fontId="0" fillId="0" borderId="0" xfId="0" applyFont="1" applyAlignment="1">
      <alignment horizontal="right"/>
    </xf>
    <xf numFmtId="0" fontId="12" fillId="0" borderId="0" xfId="0" applyFont="1" applyAlignment="1">
      <alignment/>
    </xf>
    <xf numFmtId="0" fontId="0" fillId="0" borderId="0" xfId="0" applyFill="1" applyBorder="1" applyAlignment="1">
      <alignment horizontal="left"/>
    </xf>
    <xf numFmtId="0" fontId="0" fillId="22" borderId="0" xfId="0" applyFont="1" applyFill="1" applyAlignment="1">
      <alignment/>
    </xf>
    <xf numFmtId="0" fontId="0" fillId="22" borderId="0" xfId="0" applyFill="1" applyAlignment="1">
      <alignment/>
    </xf>
    <xf numFmtId="2" fontId="23" fillId="0" borderId="0" xfId="0" applyNumberFormat="1" applyFont="1" applyAlignment="1">
      <alignment/>
    </xf>
    <xf numFmtId="2" fontId="12" fillId="0" borderId="18" xfId="0" applyNumberFormat="1" applyFont="1" applyBorder="1" applyAlignment="1">
      <alignment/>
    </xf>
    <xf numFmtId="0" fontId="14" fillId="20" borderId="0" xfId="0" applyFont="1" applyFill="1" applyAlignment="1" applyProtection="1">
      <alignment/>
      <protection hidden="1"/>
    </xf>
    <xf numFmtId="0" fontId="46" fillId="20" borderId="0" xfId="0" applyFont="1" applyFill="1" applyAlignment="1" applyProtection="1">
      <alignment/>
      <protection hidden="1"/>
    </xf>
    <xf numFmtId="1" fontId="23" fillId="0" borderId="18" xfId="0" applyNumberFormat="1" applyFont="1" applyFill="1" applyBorder="1" applyAlignment="1" applyProtection="1">
      <alignment/>
      <protection locked="0"/>
    </xf>
    <xf numFmtId="172" fontId="20" fillId="0" borderId="18" xfId="0" applyNumberFormat="1" applyFont="1" applyFill="1" applyBorder="1" applyAlignment="1" applyProtection="1">
      <alignment horizontal="center" vertical="center"/>
      <protection hidden="1"/>
    </xf>
    <xf numFmtId="0" fontId="0" fillId="0" borderId="0" xfId="0" applyFill="1" applyAlignment="1" applyProtection="1">
      <alignment/>
      <protection hidden="1"/>
    </xf>
    <xf numFmtId="0" fontId="0" fillId="20" borderId="0" xfId="0" applyFont="1" applyFill="1" applyAlignment="1" applyProtection="1">
      <alignment/>
      <protection hidden="1"/>
    </xf>
    <xf numFmtId="0" fontId="0" fillId="7" borderId="0" xfId="0" applyFill="1" applyAlignment="1">
      <alignment/>
    </xf>
    <xf numFmtId="0" fontId="0" fillId="7" borderId="0" xfId="0" applyFont="1" applyFill="1" applyAlignment="1" applyProtection="1">
      <alignment horizontal="right"/>
      <protection hidden="1"/>
    </xf>
    <xf numFmtId="0" fontId="0" fillId="24" borderId="0" xfId="0" applyFont="1" applyFill="1" applyBorder="1" applyAlignment="1" applyProtection="1">
      <alignment/>
      <protection hidden="1"/>
    </xf>
    <xf numFmtId="0" fontId="0" fillId="4" borderId="0" xfId="0" applyFont="1" applyFill="1" applyBorder="1" applyAlignment="1" applyProtection="1">
      <alignment/>
      <protection hidden="1"/>
    </xf>
    <xf numFmtId="0" fontId="0" fillId="20" borderId="0" xfId="0" applyFont="1" applyFill="1" applyBorder="1" applyAlignment="1" applyProtection="1">
      <alignment/>
      <protection hidden="1"/>
    </xf>
    <xf numFmtId="0" fontId="0" fillId="0" borderId="0" xfId="0" applyFont="1" applyFill="1" applyAlignment="1" applyProtection="1">
      <alignment horizontal="right"/>
      <protection hidden="1"/>
    </xf>
    <xf numFmtId="0" fontId="27" fillId="20" borderId="0" xfId="0" applyFont="1" applyFill="1" applyBorder="1" applyAlignment="1" applyProtection="1">
      <alignment horizontal="center"/>
      <protection hidden="1"/>
    </xf>
    <xf numFmtId="0" fontId="51" fillId="20" borderId="0" xfId="0" applyFont="1" applyFill="1" applyAlignment="1" applyProtection="1">
      <alignment horizontal="left"/>
      <protection hidden="1"/>
    </xf>
    <xf numFmtId="0" fontId="0" fillId="20" borderId="0" xfId="0" applyFill="1" applyAlignment="1" applyProtection="1">
      <alignment/>
      <protection/>
    </xf>
    <xf numFmtId="0" fontId="8" fillId="20" borderId="0" xfId="0" applyFont="1" applyFill="1" applyAlignment="1" applyProtection="1">
      <alignment/>
      <protection/>
    </xf>
    <xf numFmtId="0" fontId="0" fillId="20" borderId="0" xfId="0" applyFont="1" applyFill="1" applyAlignment="1" applyProtection="1">
      <alignment horizontal="center"/>
      <protection/>
    </xf>
    <xf numFmtId="0" fontId="29" fillId="20" borderId="0" xfId="0" applyFont="1" applyFill="1" applyAlignment="1" applyProtection="1">
      <alignment/>
      <protection/>
    </xf>
    <xf numFmtId="0" fontId="9" fillId="20" borderId="0" xfId="0" applyFont="1" applyFill="1" applyAlignment="1" applyProtection="1">
      <alignment horizontal="center"/>
      <protection/>
    </xf>
    <xf numFmtId="0" fontId="1" fillId="20" borderId="0" xfId="0" applyFont="1" applyFill="1" applyBorder="1" applyAlignment="1" applyProtection="1">
      <alignment horizontal="center"/>
      <protection/>
    </xf>
    <xf numFmtId="0" fontId="0" fillId="20" borderId="0" xfId="0" applyFill="1" applyAlignment="1" applyProtection="1">
      <alignment vertical="top"/>
      <protection/>
    </xf>
    <xf numFmtId="0" fontId="7" fillId="20" borderId="0" xfId="0" applyFont="1" applyFill="1" applyAlignment="1" applyProtection="1">
      <alignment/>
      <protection/>
    </xf>
    <xf numFmtId="0" fontId="28" fillId="20" borderId="0" xfId="0" applyFont="1" applyFill="1" applyAlignment="1" applyProtection="1">
      <alignment/>
      <protection/>
    </xf>
    <xf numFmtId="0" fontId="9" fillId="20" borderId="0" xfId="0" applyFont="1" applyFill="1" applyAlignment="1" applyProtection="1">
      <alignment vertical="top" wrapText="1"/>
      <protection/>
    </xf>
    <xf numFmtId="0" fontId="1" fillId="20" borderId="0" xfId="0" applyFont="1" applyFill="1" applyAlignment="1" applyProtection="1">
      <alignment/>
      <protection/>
    </xf>
    <xf numFmtId="0" fontId="0" fillId="20" borderId="0" xfId="0" applyFill="1" applyAlignment="1" applyProtection="1">
      <alignment horizontal="right"/>
      <protection/>
    </xf>
    <xf numFmtId="0" fontId="0" fillId="20" borderId="0" xfId="0" applyFont="1" applyFill="1" applyAlignment="1" applyProtection="1">
      <alignment/>
      <protection/>
    </xf>
    <xf numFmtId="0" fontId="9" fillId="20" borderId="0" xfId="0" applyFont="1" applyFill="1" applyAlignment="1" applyProtection="1">
      <alignment/>
      <protection/>
    </xf>
    <xf numFmtId="0" fontId="15" fillId="20" borderId="0" xfId="0" applyFont="1" applyFill="1" applyAlignment="1" applyProtection="1">
      <alignment vertical="center"/>
      <protection/>
    </xf>
    <xf numFmtId="0" fontId="8" fillId="20" borderId="0" xfId="0" applyFont="1" applyFill="1" applyAlignment="1" applyProtection="1">
      <alignment/>
      <protection/>
    </xf>
    <xf numFmtId="0" fontId="7" fillId="20" borderId="0" xfId="0" applyFont="1" applyFill="1" applyAlignment="1" applyProtection="1">
      <alignment horizontal="left"/>
      <protection/>
    </xf>
    <xf numFmtId="0" fontId="0" fillId="20" borderId="0" xfId="0" applyFont="1" applyFill="1" applyAlignment="1" applyProtection="1">
      <alignment vertical="top" wrapText="1"/>
      <protection/>
    </xf>
    <xf numFmtId="0" fontId="15" fillId="20" borderId="0" xfId="0" applyFont="1" applyFill="1" applyAlignment="1" applyProtection="1">
      <alignment/>
      <protection/>
    </xf>
    <xf numFmtId="2" fontId="20" fillId="0" borderId="18" xfId="0" applyNumberFormat="1" applyFont="1" applyFill="1" applyBorder="1" applyAlignment="1" applyProtection="1">
      <alignment/>
      <protection/>
    </xf>
    <xf numFmtId="2" fontId="20" fillId="0" borderId="18" xfId="0" applyNumberFormat="1" applyFont="1" applyFill="1" applyBorder="1" applyAlignment="1" applyProtection="1">
      <alignment horizontal="right"/>
      <protection/>
    </xf>
    <xf numFmtId="172" fontId="20" fillId="20" borderId="0" xfId="0" applyNumberFormat="1" applyFont="1" applyFill="1" applyBorder="1" applyAlignment="1" applyProtection="1">
      <alignment horizontal="right"/>
      <protection/>
    </xf>
    <xf numFmtId="172" fontId="20" fillId="0" borderId="18" xfId="0" applyNumberFormat="1" applyFont="1" applyFill="1" applyBorder="1" applyAlignment="1" applyProtection="1">
      <alignment horizontal="right"/>
      <protection/>
    </xf>
    <xf numFmtId="172" fontId="20" fillId="25" borderId="18" xfId="0" applyNumberFormat="1" applyFont="1" applyFill="1" applyBorder="1" applyAlignment="1" applyProtection="1">
      <alignment horizontal="right"/>
      <protection/>
    </xf>
    <xf numFmtId="0" fontId="0" fillId="20" borderId="19" xfId="0" applyFill="1" applyBorder="1" applyAlignment="1" applyProtection="1">
      <alignment/>
      <protection/>
    </xf>
    <xf numFmtId="0" fontId="0" fillId="20" borderId="0" xfId="0" applyFill="1" applyAlignment="1" applyProtection="1">
      <alignment/>
      <protection/>
    </xf>
    <xf numFmtId="172" fontId="0" fillId="20" borderId="0" xfId="0" applyNumberFormat="1" applyFill="1" applyAlignment="1" applyProtection="1">
      <alignment/>
      <protection/>
    </xf>
    <xf numFmtId="1" fontId="23" fillId="20" borderId="0" xfId="0" applyNumberFormat="1" applyFont="1" applyFill="1" applyBorder="1" applyAlignment="1" applyProtection="1">
      <alignment horizontal="center"/>
      <protection/>
    </xf>
    <xf numFmtId="0" fontId="0" fillId="20" borderId="0" xfId="0" applyFill="1" applyBorder="1" applyAlignment="1" applyProtection="1">
      <alignment/>
      <protection/>
    </xf>
    <xf numFmtId="0" fontId="51" fillId="20" borderId="0" xfId="0" applyFont="1" applyFill="1" applyAlignment="1" applyProtection="1">
      <alignment horizontal="left"/>
      <protection/>
    </xf>
    <xf numFmtId="0" fontId="39" fillId="20" borderId="0" xfId="0" applyFont="1" applyFill="1" applyAlignment="1" applyProtection="1">
      <alignment vertical="top" wrapText="1"/>
      <protection/>
    </xf>
    <xf numFmtId="0" fontId="18" fillId="20" borderId="0" xfId="0" applyFont="1" applyFill="1" applyAlignment="1" applyProtection="1">
      <alignment/>
      <protection/>
    </xf>
    <xf numFmtId="0" fontId="42" fillId="20" borderId="0" xfId="0" applyFont="1" applyFill="1" applyAlignment="1" applyProtection="1">
      <alignment vertical="top" wrapText="1"/>
      <protection/>
    </xf>
    <xf numFmtId="0" fontId="45" fillId="20" borderId="0" xfId="0" applyFont="1" applyFill="1" applyAlignment="1" applyProtection="1">
      <alignment horizontal="center"/>
      <protection/>
    </xf>
    <xf numFmtId="2" fontId="23" fillId="0" borderId="18" xfId="0" applyNumberFormat="1" applyFont="1" applyFill="1" applyBorder="1" applyAlignment="1" applyProtection="1">
      <alignment/>
      <protection locked="0"/>
    </xf>
    <xf numFmtId="0" fontId="0" fillId="20" borderId="0" xfId="0" applyFill="1" applyAlignment="1">
      <alignment horizontal="center"/>
    </xf>
    <xf numFmtId="2" fontId="0" fillId="20" borderId="0" xfId="0" applyNumberFormat="1" applyFill="1" applyAlignment="1">
      <alignment/>
    </xf>
    <xf numFmtId="0" fontId="0" fillId="20" borderId="0" xfId="0" applyFill="1" applyAlignment="1">
      <alignment horizontal="right"/>
    </xf>
    <xf numFmtId="172" fontId="0" fillId="20" borderId="0" xfId="0" applyNumberFormat="1" applyFill="1" applyAlignment="1">
      <alignment/>
    </xf>
    <xf numFmtId="172" fontId="12" fillId="20" borderId="0" xfId="0" applyNumberFormat="1" applyFont="1" applyFill="1" applyAlignment="1">
      <alignment/>
    </xf>
    <xf numFmtId="0" fontId="1" fillId="20" borderId="0" xfId="0" applyFont="1" applyFill="1" applyAlignment="1">
      <alignment horizontal="center"/>
    </xf>
    <xf numFmtId="0" fontId="0" fillId="20" borderId="20" xfId="0" applyFill="1" applyBorder="1" applyAlignment="1">
      <alignment horizontal="right"/>
    </xf>
    <xf numFmtId="172" fontId="0" fillId="20" borderId="20" xfId="0" applyNumberFormat="1" applyFill="1" applyBorder="1" applyAlignment="1">
      <alignment horizontal="right"/>
    </xf>
    <xf numFmtId="172" fontId="0" fillId="20" borderId="21" xfId="0" applyNumberFormat="1" applyFill="1" applyBorder="1" applyAlignment="1">
      <alignment horizontal="right"/>
    </xf>
    <xf numFmtId="2" fontId="0" fillId="20" borderId="0" xfId="0" applyNumberFormat="1" applyFill="1" applyBorder="1" applyAlignment="1">
      <alignment/>
    </xf>
    <xf numFmtId="2" fontId="0" fillId="20" borderId="22" xfId="0" applyNumberFormat="1" applyFill="1" applyBorder="1" applyAlignment="1">
      <alignment/>
    </xf>
    <xf numFmtId="0" fontId="0" fillId="20" borderId="19" xfId="0" applyFill="1" applyBorder="1" applyAlignment="1">
      <alignment/>
    </xf>
    <xf numFmtId="2" fontId="20" fillId="20" borderId="0" xfId="0" applyNumberFormat="1" applyFont="1" applyFill="1" applyBorder="1" applyAlignment="1">
      <alignment/>
    </xf>
    <xf numFmtId="172" fontId="0" fillId="20" borderId="0" xfId="0" applyNumberFormat="1" applyFill="1" applyBorder="1" applyAlignment="1">
      <alignment/>
    </xf>
    <xf numFmtId="2" fontId="20" fillId="20" borderId="22" xfId="0" applyNumberFormat="1" applyFont="1" applyFill="1" applyBorder="1" applyAlignment="1">
      <alignment/>
    </xf>
    <xf numFmtId="2" fontId="20" fillId="20" borderId="23" xfId="0" applyNumberFormat="1" applyFont="1" applyFill="1" applyBorder="1" applyAlignment="1">
      <alignment/>
    </xf>
    <xf numFmtId="172" fontId="0" fillId="20" borderId="23" xfId="0" applyNumberFormat="1" applyFill="1" applyBorder="1" applyAlignment="1">
      <alignment/>
    </xf>
    <xf numFmtId="2" fontId="20" fillId="20" borderId="24" xfId="0" applyNumberFormat="1" applyFont="1" applyFill="1" applyBorder="1" applyAlignment="1">
      <alignment/>
    </xf>
    <xf numFmtId="172" fontId="0" fillId="20" borderId="22" xfId="0" applyNumberFormat="1" applyFill="1" applyBorder="1" applyAlignment="1">
      <alignment/>
    </xf>
    <xf numFmtId="172" fontId="0" fillId="20" borderId="24" xfId="0" applyNumberFormat="1" applyFill="1" applyBorder="1" applyAlignment="1">
      <alignment/>
    </xf>
    <xf numFmtId="0" fontId="0" fillId="20" borderId="25" xfId="0" applyFill="1" applyBorder="1" applyAlignment="1">
      <alignment horizontal="right"/>
    </xf>
    <xf numFmtId="2" fontId="0" fillId="20" borderId="19" xfId="0" applyNumberFormat="1" applyFill="1" applyBorder="1" applyAlignment="1">
      <alignment/>
    </xf>
    <xf numFmtId="2" fontId="20" fillId="20" borderId="19" xfId="0" applyNumberFormat="1" applyFont="1" applyFill="1" applyBorder="1" applyAlignment="1">
      <alignment/>
    </xf>
    <xf numFmtId="0" fontId="0" fillId="20" borderId="22" xfId="0" applyFill="1" applyBorder="1" applyAlignment="1">
      <alignment/>
    </xf>
    <xf numFmtId="2" fontId="20" fillId="20" borderId="26" xfId="0" applyNumberFormat="1" applyFont="1" applyFill="1" applyBorder="1" applyAlignment="1">
      <alignment/>
    </xf>
    <xf numFmtId="0" fontId="0" fillId="20" borderId="0" xfId="0" applyFill="1" applyBorder="1" applyAlignment="1">
      <alignment horizontal="right"/>
    </xf>
    <xf numFmtId="0" fontId="0" fillId="20" borderId="27" xfId="0" applyFill="1" applyBorder="1" applyAlignment="1">
      <alignment horizontal="center"/>
    </xf>
    <xf numFmtId="0" fontId="0" fillId="20" borderId="28" xfId="0" applyFill="1" applyBorder="1" applyAlignment="1">
      <alignment horizontal="center"/>
    </xf>
    <xf numFmtId="0" fontId="0" fillId="20" borderId="29" xfId="0" applyFill="1" applyBorder="1" applyAlignment="1">
      <alignment horizontal="center"/>
    </xf>
    <xf numFmtId="0" fontId="1" fillId="20" borderId="0" xfId="0" applyFont="1" applyFill="1" applyAlignment="1">
      <alignment horizontal="right"/>
    </xf>
    <xf numFmtId="0" fontId="21" fillId="20" borderId="0" xfId="0" applyFont="1" applyFill="1" applyAlignment="1">
      <alignment/>
    </xf>
    <xf numFmtId="2" fontId="21" fillId="20" borderId="0" xfId="0" applyNumberFormat="1" applyFont="1" applyFill="1" applyBorder="1" applyAlignment="1">
      <alignment/>
    </xf>
    <xf numFmtId="0" fontId="21" fillId="20" borderId="0" xfId="0" applyFont="1" applyFill="1" applyBorder="1" applyAlignment="1">
      <alignment/>
    </xf>
    <xf numFmtId="2" fontId="0" fillId="20" borderId="0" xfId="0" applyNumberFormat="1" applyFont="1" applyFill="1" applyAlignment="1">
      <alignment/>
    </xf>
    <xf numFmtId="0" fontId="13" fillId="20" borderId="0" xfId="0" applyFont="1" applyFill="1" applyAlignment="1">
      <alignment horizontal="center"/>
    </xf>
    <xf numFmtId="172" fontId="0" fillId="20" borderId="0" xfId="0" applyNumberFormat="1" applyFont="1" applyFill="1" applyAlignment="1">
      <alignment/>
    </xf>
    <xf numFmtId="0" fontId="0" fillId="20" borderId="0" xfId="0" applyFill="1" applyBorder="1" applyAlignment="1">
      <alignment horizontal="center"/>
    </xf>
    <xf numFmtId="0" fontId="54" fillId="20" borderId="0" xfId="0" applyFont="1" applyFill="1" applyAlignment="1">
      <alignment/>
    </xf>
    <xf numFmtId="0" fontId="0" fillId="22" borderId="0" xfId="0" applyFont="1" applyFill="1" applyAlignment="1" applyProtection="1">
      <alignment/>
      <protection hidden="1"/>
    </xf>
    <xf numFmtId="0" fontId="0" fillId="3" borderId="0" xfId="0" applyFill="1" applyAlignment="1">
      <alignment/>
    </xf>
    <xf numFmtId="0" fontId="0" fillId="20" borderId="0" xfId="0" applyFont="1" applyFill="1" applyAlignment="1" applyProtection="1">
      <alignment horizontal="center"/>
      <protection hidden="1"/>
    </xf>
    <xf numFmtId="0" fontId="0" fillId="24" borderId="0" xfId="0" applyFont="1" applyFill="1" applyAlignment="1" applyProtection="1">
      <alignment horizontal="center"/>
      <protection hidden="1"/>
    </xf>
    <xf numFmtId="0" fontId="0" fillId="4" borderId="0" xfId="0" applyFont="1" applyFill="1" applyAlignment="1" applyProtection="1">
      <alignment horizontal="center"/>
      <protection hidden="1"/>
    </xf>
    <xf numFmtId="0" fontId="0" fillId="4" borderId="0" xfId="0" applyFont="1" applyFill="1" applyBorder="1" applyAlignment="1" applyProtection="1">
      <alignment/>
      <protection hidden="1"/>
    </xf>
    <xf numFmtId="0" fontId="0" fillId="7" borderId="0" xfId="0" applyFont="1" applyFill="1" applyAlignment="1" applyProtection="1">
      <alignment horizontal="center"/>
      <protection hidden="1"/>
    </xf>
    <xf numFmtId="0" fontId="0" fillId="7" borderId="0" xfId="0" applyFont="1" applyFill="1" applyAlignment="1" applyProtection="1">
      <alignment/>
      <protection hidden="1"/>
    </xf>
    <xf numFmtId="0" fontId="0" fillId="7" borderId="0" xfId="0" applyFont="1" applyFill="1" applyBorder="1" applyAlignment="1" applyProtection="1">
      <alignment/>
      <protection hidden="1"/>
    </xf>
    <xf numFmtId="0" fontId="0" fillId="7" borderId="0" xfId="0" applyFont="1" applyFill="1" applyBorder="1" applyAlignment="1" applyProtection="1">
      <alignment/>
      <protection hidden="1"/>
    </xf>
    <xf numFmtId="0" fontId="0" fillId="0" borderId="0" xfId="0" applyFont="1" applyFill="1" applyAlignment="1" applyProtection="1">
      <alignment horizontal="center"/>
      <protection hidden="1"/>
    </xf>
    <xf numFmtId="0" fontId="12" fillId="26" borderId="0" xfId="0" applyFont="1" applyFill="1" applyAlignment="1" applyProtection="1">
      <alignment horizontal="center"/>
      <protection hidden="1"/>
    </xf>
    <xf numFmtId="0" fontId="0" fillId="20" borderId="0" xfId="0" applyFont="1" applyFill="1" applyBorder="1" applyAlignment="1">
      <alignment/>
    </xf>
    <xf numFmtId="0" fontId="26" fillId="20" borderId="0" xfId="0" applyFont="1" applyFill="1" applyAlignment="1">
      <alignment/>
    </xf>
    <xf numFmtId="2" fontId="12" fillId="25" borderId="18" xfId="0" applyNumberFormat="1" applyFont="1" applyFill="1" applyBorder="1" applyAlignment="1">
      <alignment/>
    </xf>
    <xf numFmtId="172" fontId="0" fillId="20" borderId="0" xfId="0" applyNumberFormat="1" applyFont="1" applyFill="1" applyBorder="1" applyAlignment="1">
      <alignment/>
    </xf>
    <xf numFmtId="2" fontId="0" fillId="20" borderId="0" xfId="0" applyNumberFormat="1" applyFont="1" applyFill="1" applyBorder="1" applyAlignment="1">
      <alignment/>
    </xf>
    <xf numFmtId="2" fontId="21" fillId="20" borderId="0" xfId="0" applyNumberFormat="1" applyFont="1" applyFill="1" applyBorder="1" applyAlignment="1">
      <alignment/>
    </xf>
    <xf numFmtId="0" fontId="21" fillId="20" borderId="0" xfId="0" applyFont="1" applyFill="1" applyBorder="1" applyAlignment="1">
      <alignment/>
    </xf>
    <xf numFmtId="172" fontId="21" fillId="20" borderId="0" xfId="0" applyNumberFormat="1" applyFont="1" applyFill="1" applyBorder="1" applyAlignment="1">
      <alignment/>
    </xf>
    <xf numFmtId="2" fontId="0" fillId="20" borderId="0" xfId="0" applyNumberFormat="1" applyFont="1" applyFill="1" applyAlignment="1">
      <alignment/>
    </xf>
    <xf numFmtId="0" fontId="0" fillId="20" borderId="0" xfId="0" applyFont="1" applyFill="1" applyAlignment="1">
      <alignment/>
    </xf>
    <xf numFmtId="0" fontId="57"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0" fillId="7" borderId="0" xfId="0" applyFont="1" applyFill="1" applyAlignment="1" applyProtection="1">
      <alignment horizontal="center"/>
      <protection hidden="1"/>
    </xf>
    <xf numFmtId="0" fontId="54" fillId="0" borderId="0" xfId="0" applyFont="1" applyAlignment="1">
      <alignment/>
    </xf>
    <xf numFmtId="0" fontId="0" fillId="24" borderId="0" xfId="0" applyFont="1" applyFill="1" applyAlignment="1" applyProtection="1">
      <alignment horizontal="right"/>
      <protection hidden="1"/>
    </xf>
    <xf numFmtId="2" fontId="0" fillId="0" borderId="0" xfId="0" applyNumberFormat="1" applyFont="1" applyFill="1" applyAlignment="1" applyProtection="1">
      <alignment/>
      <protection hidden="1"/>
    </xf>
    <xf numFmtId="0" fontId="13" fillId="0" borderId="0" xfId="0" applyFont="1" applyFill="1" applyAlignment="1" applyProtection="1">
      <alignment/>
      <protection hidden="1"/>
    </xf>
    <xf numFmtId="0" fontId="13" fillId="0" borderId="0" xfId="0" applyFont="1" applyAlignment="1">
      <alignment/>
    </xf>
    <xf numFmtId="0" fontId="13" fillId="0" borderId="0" xfId="0" applyFont="1" applyFill="1" applyAlignment="1">
      <alignment/>
    </xf>
    <xf numFmtId="0" fontId="66" fillId="0" borderId="0" xfId="0" applyFont="1" applyFill="1" applyAlignment="1">
      <alignment/>
    </xf>
    <xf numFmtId="1" fontId="23" fillId="0" borderId="0" xfId="0" applyNumberFormat="1" applyFont="1" applyFill="1" applyAlignment="1">
      <alignment/>
    </xf>
    <xf numFmtId="1" fontId="0" fillId="0" borderId="0" xfId="0" applyNumberFormat="1" applyFont="1" applyFill="1" applyAlignment="1">
      <alignment/>
    </xf>
    <xf numFmtId="2" fontId="20" fillId="0" borderId="0" xfId="0" applyNumberFormat="1" applyFont="1" applyAlignment="1">
      <alignment/>
    </xf>
    <xf numFmtId="1" fontId="23" fillId="22" borderId="0" xfId="0" applyNumberFormat="1" applyFont="1" applyFill="1" applyAlignment="1">
      <alignment/>
    </xf>
    <xf numFmtId="2" fontId="26" fillId="22" borderId="0" xfId="0" applyNumberFormat="1" applyFont="1" applyFill="1" applyAlignment="1">
      <alignment horizontal="right"/>
    </xf>
    <xf numFmtId="0" fontId="0" fillId="0" borderId="0" xfId="0" applyFont="1" applyAlignment="1">
      <alignment/>
    </xf>
    <xf numFmtId="2" fontId="23" fillId="22" borderId="0" xfId="0" applyNumberFormat="1" applyFont="1" applyFill="1" applyAlignment="1">
      <alignment horizontal="right"/>
    </xf>
    <xf numFmtId="0" fontId="0" fillId="0" borderId="0" xfId="0" applyFont="1" applyAlignment="1">
      <alignment/>
    </xf>
    <xf numFmtId="2" fontId="23" fillId="24" borderId="0" xfId="0" applyNumberFormat="1" applyFont="1" applyFill="1" applyAlignment="1">
      <alignment/>
    </xf>
    <xf numFmtId="1" fontId="23" fillId="22" borderId="0" xfId="0" applyNumberFormat="1" applyFont="1" applyFill="1" applyAlignment="1">
      <alignment/>
    </xf>
    <xf numFmtId="1" fontId="23" fillId="0" borderId="0" xfId="0" applyNumberFormat="1" applyFont="1" applyFill="1" applyAlignment="1">
      <alignment/>
    </xf>
    <xf numFmtId="2" fontId="0" fillId="0" borderId="0" xfId="0" applyNumberFormat="1" applyFont="1" applyAlignment="1">
      <alignment/>
    </xf>
    <xf numFmtId="0" fontId="0" fillId="0" borderId="0" xfId="0" applyFont="1" applyFill="1" applyAlignment="1">
      <alignment/>
    </xf>
    <xf numFmtId="2" fontId="23" fillId="22" borderId="0" xfId="0" applyNumberFormat="1" applyFont="1" applyFill="1" applyAlignment="1">
      <alignment horizontal="right"/>
    </xf>
    <xf numFmtId="2" fontId="0" fillId="24" borderId="0" xfId="0" applyNumberFormat="1" applyFont="1" applyFill="1" applyAlignment="1">
      <alignment horizontal="right"/>
    </xf>
    <xf numFmtId="2" fontId="0" fillId="24" borderId="0" xfId="0" applyNumberFormat="1" applyFont="1" applyFill="1" applyAlignment="1">
      <alignment/>
    </xf>
    <xf numFmtId="2" fontId="26" fillId="24" borderId="0" xfId="0" applyNumberFormat="1" applyFont="1" applyFill="1" applyAlignment="1">
      <alignment/>
    </xf>
    <xf numFmtId="2" fontId="26" fillId="24" borderId="0" xfId="0" applyNumberFormat="1" applyFont="1" applyFill="1" applyAlignment="1">
      <alignment/>
    </xf>
    <xf numFmtId="0" fontId="21" fillId="20" borderId="0" xfId="0" applyFont="1" applyFill="1" applyAlignment="1" applyProtection="1">
      <alignment/>
      <protection hidden="1"/>
    </xf>
    <xf numFmtId="0" fontId="21" fillId="20" borderId="0" xfId="0" applyFont="1" applyFill="1" applyAlignment="1" applyProtection="1">
      <alignment/>
      <protection hidden="1"/>
    </xf>
    <xf numFmtId="0" fontId="21" fillId="20" borderId="0" xfId="0" applyFont="1" applyFill="1" applyAlignment="1" applyProtection="1">
      <alignment horizontal="center"/>
      <protection hidden="1"/>
    </xf>
    <xf numFmtId="0" fontId="1" fillId="0" borderId="0" xfId="0" applyFont="1" applyAlignment="1">
      <alignment horizontal="right"/>
    </xf>
    <xf numFmtId="0" fontId="67" fillId="20" borderId="0" xfId="0" applyFont="1" applyFill="1" applyAlignment="1" applyProtection="1">
      <alignment/>
      <protection hidden="1"/>
    </xf>
    <xf numFmtId="0" fontId="26" fillId="20" borderId="0" xfId="0" applyFont="1" applyFill="1" applyAlignment="1">
      <alignment/>
    </xf>
    <xf numFmtId="0" fontId="14" fillId="20" borderId="0" xfId="0" applyFont="1" applyFill="1" applyAlignment="1" applyProtection="1">
      <alignment/>
      <protection hidden="1"/>
    </xf>
    <xf numFmtId="0" fontId="68" fillId="20" borderId="0" xfId="0" applyFont="1" applyFill="1" applyAlignment="1" applyProtection="1">
      <alignment/>
      <protection hidden="1"/>
    </xf>
    <xf numFmtId="0" fontId="48" fillId="20" borderId="0" xfId="0" applyFont="1" applyFill="1" applyAlignment="1" applyProtection="1">
      <alignment/>
      <protection hidden="1"/>
    </xf>
    <xf numFmtId="2" fontId="26" fillId="0" borderId="0" xfId="0" applyNumberFormat="1" applyFont="1" applyAlignment="1">
      <alignment/>
    </xf>
    <xf numFmtId="0" fontId="45" fillId="0" borderId="0" xfId="0" applyFont="1" applyAlignment="1">
      <alignment/>
    </xf>
    <xf numFmtId="0" fontId="13" fillId="0" borderId="0" xfId="0" applyFont="1" applyAlignment="1">
      <alignment/>
    </xf>
    <xf numFmtId="0" fontId="13" fillId="0" borderId="0" xfId="0" applyFont="1" applyFill="1" applyAlignment="1" applyProtection="1">
      <alignment/>
      <protection hidden="1"/>
    </xf>
    <xf numFmtId="1" fontId="26" fillId="0" borderId="30" xfId="0" applyNumberFormat="1" applyFont="1" applyFill="1" applyBorder="1" applyAlignment="1" applyProtection="1">
      <alignment/>
      <protection hidden="1"/>
    </xf>
    <xf numFmtId="0" fontId="12" fillId="0" borderId="0" xfId="0" applyFont="1" applyFill="1" applyBorder="1" applyAlignment="1" applyProtection="1">
      <alignment/>
      <protection hidden="1"/>
    </xf>
    <xf numFmtId="1" fontId="26" fillId="0" borderId="0" xfId="0" applyNumberFormat="1" applyFont="1" applyFill="1" applyBorder="1" applyAlignment="1" applyProtection="1">
      <alignment/>
      <protection hidden="1"/>
    </xf>
    <xf numFmtId="0" fontId="9" fillId="0" borderId="0" xfId="0" applyFont="1" applyAlignment="1">
      <alignment/>
    </xf>
    <xf numFmtId="0" fontId="9" fillId="0" borderId="0" xfId="0" applyFont="1" applyFill="1" applyAlignment="1">
      <alignment/>
    </xf>
    <xf numFmtId="0" fontId="0" fillId="20" borderId="0" xfId="0" applyFont="1" applyFill="1" applyAlignment="1" applyProtection="1">
      <alignment horizontal="left"/>
      <protection/>
    </xf>
    <xf numFmtId="2" fontId="0" fillId="0" borderId="0" xfId="0" applyNumberFormat="1" applyAlignment="1">
      <alignment horizontal="center"/>
    </xf>
    <xf numFmtId="0" fontId="45" fillId="20" borderId="0" xfId="0" applyFont="1" applyFill="1" applyAlignment="1" applyProtection="1">
      <alignment/>
      <protection/>
    </xf>
    <xf numFmtId="0" fontId="12" fillId="4" borderId="0" xfId="0" applyFont="1" applyFill="1" applyAlignment="1">
      <alignment/>
    </xf>
    <xf numFmtId="2" fontId="23" fillId="4" borderId="0" xfId="0" applyNumberFormat="1" applyFont="1" applyFill="1" applyAlignment="1">
      <alignment/>
    </xf>
    <xf numFmtId="0" fontId="0" fillId="4" borderId="0" xfId="0" applyFill="1" applyAlignment="1">
      <alignment/>
    </xf>
    <xf numFmtId="0" fontId="21" fillId="4" borderId="0" xfId="0" applyFont="1" applyFill="1" applyAlignment="1">
      <alignment horizontal="right"/>
    </xf>
    <xf numFmtId="2" fontId="21" fillId="0" borderId="15" xfId="0" applyNumberFormat="1" applyFont="1" applyBorder="1" applyAlignment="1">
      <alignment horizontal="center"/>
    </xf>
    <xf numFmtId="2" fontId="21" fillId="0" borderId="16" xfId="0" applyNumberFormat="1" applyFont="1" applyBorder="1" applyAlignment="1">
      <alignment horizontal="center"/>
    </xf>
    <xf numFmtId="2" fontId="21" fillId="0" borderId="17" xfId="0" applyNumberFormat="1" applyFont="1" applyBorder="1" applyAlignment="1">
      <alignment horizontal="center"/>
    </xf>
    <xf numFmtId="2" fontId="21" fillId="4" borderId="0" xfId="0" applyNumberFormat="1" applyFont="1" applyFill="1" applyBorder="1" applyAlignment="1">
      <alignment horizontal="center"/>
    </xf>
    <xf numFmtId="2" fontId="0" fillId="0" borderId="0" xfId="0" applyNumberFormat="1" applyFont="1" applyAlignment="1">
      <alignment horizontal="right"/>
    </xf>
    <xf numFmtId="2" fontId="21" fillId="4" borderId="0" xfId="0" applyNumberFormat="1" applyFont="1" applyFill="1" applyBorder="1" applyAlignment="1">
      <alignment horizontal="center"/>
    </xf>
    <xf numFmtId="0" fontId="37" fillId="0" borderId="0" xfId="0" applyFont="1" applyAlignment="1">
      <alignment/>
    </xf>
    <xf numFmtId="0" fontId="37" fillId="0" borderId="0" xfId="0" applyFont="1" applyAlignment="1">
      <alignment horizontal="center"/>
    </xf>
    <xf numFmtId="2" fontId="69" fillId="0" borderId="0" xfId="0" applyNumberFormat="1" applyFont="1" applyAlignment="1">
      <alignment horizontal="right"/>
    </xf>
    <xf numFmtId="0" fontId="70" fillId="0" borderId="0" xfId="0" applyFont="1" applyFill="1" applyAlignment="1" quotePrefix="1">
      <alignment/>
    </xf>
    <xf numFmtId="0" fontId="70" fillId="0" borderId="0" xfId="0" applyFont="1" applyFill="1" applyAlignment="1">
      <alignment horizontal="center"/>
    </xf>
    <xf numFmtId="2" fontId="70" fillId="0" borderId="0" xfId="0" applyNumberFormat="1" applyFont="1" applyFill="1" applyAlignment="1" quotePrefix="1">
      <alignment/>
    </xf>
    <xf numFmtId="0" fontId="18" fillId="20" borderId="0" xfId="0" applyFont="1" applyFill="1" applyAlignment="1" applyProtection="1">
      <alignment/>
      <protection hidden="1"/>
    </xf>
    <xf numFmtId="0" fontId="1" fillId="20" borderId="0" xfId="0" applyFont="1" applyFill="1" applyBorder="1" applyAlignment="1" applyProtection="1">
      <alignment horizontal="center"/>
      <protection hidden="1"/>
    </xf>
    <xf numFmtId="0" fontId="0" fillId="20" borderId="0" xfId="0" applyFill="1" applyAlignment="1" applyProtection="1">
      <alignment vertical="top"/>
      <protection hidden="1"/>
    </xf>
    <xf numFmtId="0" fontId="20" fillId="0" borderId="18" xfId="0" applyFont="1" applyFill="1" applyBorder="1" applyAlignment="1" applyProtection="1">
      <alignment horizontal="center" vertical="center"/>
      <protection hidden="1"/>
    </xf>
    <xf numFmtId="172" fontId="20" fillId="0" borderId="18" xfId="0" applyNumberFormat="1" applyFont="1" applyFill="1" applyBorder="1" applyAlignment="1" applyProtection="1">
      <alignment horizontal="center"/>
      <protection hidden="1"/>
    </xf>
    <xf numFmtId="0" fontId="60" fillId="20" borderId="0" xfId="0" applyFont="1" applyFill="1" applyAlignment="1" applyProtection="1">
      <alignment/>
      <protection hidden="1"/>
    </xf>
    <xf numFmtId="1" fontId="35" fillId="0" borderId="18" xfId="0" applyNumberFormat="1" applyFont="1" applyFill="1" applyBorder="1" applyAlignment="1" applyProtection="1">
      <alignment/>
      <protection hidden="1"/>
    </xf>
    <xf numFmtId="0" fontId="27" fillId="20" borderId="0" xfId="0" applyFont="1" applyFill="1" applyAlignment="1" applyProtection="1">
      <alignment horizontal="right"/>
      <protection hidden="1"/>
    </xf>
    <xf numFmtId="1" fontId="5" fillId="0" borderId="18" xfId="0" applyNumberFormat="1" applyFont="1" applyFill="1" applyBorder="1" applyAlignment="1" applyProtection="1">
      <alignment/>
      <protection hidden="1"/>
    </xf>
    <xf numFmtId="0" fontId="0" fillId="20" borderId="23" xfId="0" applyFill="1" applyBorder="1" applyAlignment="1" applyProtection="1">
      <alignment/>
      <protection hidden="1"/>
    </xf>
    <xf numFmtId="0" fontId="8" fillId="20" borderId="23" xfId="0" applyFont="1" applyFill="1" applyBorder="1" applyAlignment="1" applyProtection="1">
      <alignment/>
      <protection hidden="1"/>
    </xf>
    <xf numFmtId="0" fontId="0" fillId="20" borderId="23" xfId="0" applyFill="1" applyBorder="1" applyAlignment="1" applyProtection="1">
      <alignment horizontal="right"/>
      <protection hidden="1"/>
    </xf>
    <xf numFmtId="0" fontId="0" fillId="20" borderId="23" xfId="0" applyFill="1" applyBorder="1" applyAlignment="1" applyProtection="1">
      <alignment horizontal="center"/>
      <protection hidden="1"/>
    </xf>
    <xf numFmtId="0" fontId="47" fillId="20" borderId="0" xfId="0" applyFont="1" applyFill="1" applyAlignment="1" applyProtection="1">
      <alignment/>
      <protection hidden="1"/>
    </xf>
    <xf numFmtId="0" fontId="50" fillId="20" borderId="0" xfId="0" applyFont="1" applyFill="1" applyAlignment="1" applyProtection="1">
      <alignment vertical="top"/>
      <protection hidden="1"/>
    </xf>
    <xf numFmtId="0" fontId="10" fillId="23" borderId="0" xfId="0" applyFont="1" applyFill="1" applyAlignment="1" applyProtection="1">
      <alignment horizontal="center"/>
      <protection hidden="1"/>
    </xf>
    <xf numFmtId="0" fontId="8" fillId="20" borderId="0" xfId="0" applyFont="1" applyFill="1" applyAlignment="1" applyProtection="1">
      <alignment horizontal="right"/>
      <protection hidden="1"/>
    </xf>
    <xf numFmtId="0" fontId="27" fillId="20" borderId="0" xfId="0" applyFont="1" applyFill="1" applyAlignment="1" applyProtection="1">
      <alignment/>
      <protection hidden="1"/>
    </xf>
    <xf numFmtId="0" fontId="10" fillId="20" borderId="0" xfId="0" applyFont="1" applyFill="1" applyAlignment="1" applyProtection="1">
      <alignment horizontal="center"/>
      <protection hidden="1"/>
    </xf>
    <xf numFmtId="0" fontId="59" fillId="20" borderId="0" xfId="0" applyFont="1" applyFill="1" applyAlignment="1" applyProtection="1">
      <alignment/>
      <protection hidden="1"/>
    </xf>
    <xf numFmtId="0" fontId="0" fillId="23" borderId="0" xfId="0" applyFill="1" applyAlignment="1" applyProtection="1">
      <alignment/>
      <protection hidden="1"/>
    </xf>
    <xf numFmtId="0" fontId="65" fillId="23" borderId="0" xfId="0" applyFont="1" applyFill="1" applyAlignment="1" applyProtection="1">
      <alignment horizontal="center"/>
      <protection hidden="1"/>
    </xf>
    <xf numFmtId="0" fontId="0" fillId="20" borderId="0" xfId="0" applyFill="1" applyAlignment="1" applyProtection="1">
      <alignment horizontal="left" vertical="top" wrapText="1"/>
      <protection hidden="1"/>
    </xf>
    <xf numFmtId="0" fontId="0" fillId="27" borderId="0" xfId="0" applyFill="1" applyAlignment="1" applyProtection="1">
      <alignment/>
      <protection hidden="1"/>
    </xf>
    <xf numFmtId="0" fontId="61" fillId="27" borderId="0" xfId="0" applyFont="1" applyFill="1" applyAlignment="1" applyProtection="1">
      <alignment horizontal="center"/>
      <protection hidden="1"/>
    </xf>
    <xf numFmtId="0" fontId="64" fillId="27" borderId="0" xfId="0" applyFont="1" applyFill="1" applyAlignment="1" applyProtection="1">
      <alignment horizontal="center"/>
      <protection hidden="1"/>
    </xf>
    <xf numFmtId="0" fontId="62" fillId="27" borderId="0" xfId="0" applyFont="1" applyFill="1" applyAlignment="1" applyProtection="1">
      <alignment/>
      <protection hidden="1"/>
    </xf>
    <xf numFmtId="0" fontId="57" fillId="27" borderId="0" xfId="0" applyFont="1" applyFill="1" applyAlignment="1" applyProtection="1">
      <alignment/>
      <protection hidden="1"/>
    </xf>
    <xf numFmtId="0" fontId="0" fillId="20" borderId="0" xfId="0" applyFill="1" applyAlignment="1" applyProtection="1">
      <alignment horizontal="left"/>
      <protection hidden="1"/>
    </xf>
    <xf numFmtId="0" fontId="12" fillId="27" borderId="0" xfId="0" applyFont="1" applyFill="1" applyAlignment="1" applyProtection="1">
      <alignment horizontal="center"/>
      <protection hidden="1"/>
    </xf>
    <xf numFmtId="0" fontId="63" fillId="27" borderId="0" xfId="0" applyFont="1" applyFill="1" applyAlignment="1" applyProtection="1">
      <alignment horizontal="center"/>
      <protection hidden="1"/>
    </xf>
    <xf numFmtId="0" fontId="58" fillId="27" borderId="0" xfId="0" applyFont="1" applyFill="1" applyAlignment="1" applyProtection="1">
      <alignment horizontal="center"/>
      <protection hidden="1"/>
    </xf>
    <xf numFmtId="172" fontId="8" fillId="20" borderId="0" xfId="0" applyNumberFormat="1" applyFont="1" applyFill="1" applyAlignment="1" applyProtection="1">
      <alignment horizontal="right"/>
      <protection hidden="1"/>
    </xf>
    <xf numFmtId="0" fontId="0" fillId="20" borderId="0" xfId="0" applyFont="1" applyFill="1" applyAlignment="1" applyProtection="1">
      <alignment/>
      <protection hidden="1"/>
    </xf>
    <xf numFmtId="0" fontId="29" fillId="20" borderId="0" xfId="0" applyFont="1" applyFill="1" applyAlignment="1" applyProtection="1">
      <alignment horizontal="center"/>
      <protection hidden="1"/>
    </xf>
    <xf numFmtId="0" fontId="11" fillId="20" borderId="0" xfId="0" applyFont="1" applyFill="1" applyAlignment="1" applyProtection="1">
      <alignment vertical="top"/>
      <protection hidden="1"/>
    </xf>
    <xf numFmtId="0" fontId="0" fillId="20" borderId="0" xfId="0" applyFill="1" applyAlignment="1" applyProtection="1">
      <alignment vertical="top" wrapText="1"/>
      <protection hidden="1"/>
    </xf>
    <xf numFmtId="1" fontId="8" fillId="20" borderId="0" xfId="0" applyNumberFormat="1" applyFont="1" applyFill="1" applyAlignment="1" applyProtection="1">
      <alignment horizontal="right"/>
      <protection hidden="1"/>
    </xf>
    <xf numFmtId="0" fontId="45" fillId="20" borderId="0" xfId="0" applyFont="1" applyFill="1" applyAlignment="1" applyProtection="1">
      <alignment/>
      <protection hidden="1"/>
    </xf>
    <xf numFmtId="0" fontId="27" fillId="20" borderId="0" xfId="0" applyFont="1" applyFill="1" applyAlignment="1" applyProtection="1">
      <alignment vertical="top"/>
      <protection hidden="1"/>
    </xf>
    <xf numFmtId="172" fontId="37" fillId="20" borderId="0" xfId="0" applyNumberFormat="1" applyFont="1" applyFill="1" applyAlignment="1" applyProtection="1">
      <alignment horizontal="right"/>
      <protection hidden="1"/>
    </xf>
    <xf numFmtId="0" fontId="1" fillId="20" borderId="0" xfId="0" applyFont="1" applyFill="1" applyAlignment="1" applyProtection="1">
      <alignment/>
      <protection hidden="1"/>
    </xf>
    <xf numFmtId="0" fontId="12" fillId="20" borderId="0" xfId="0" applyFont="1" applyFill="1" applyBorder="1" applyAlignment="1" applyProtection="1">
      <alignment/>
      <protection hidden="1"/>
    </xf>
    <xf numFmtId="0" fontId="12" fillId="20" borderId="0" xfId="0" applyFont="1" applyFill="1" applyAlignment="1" applyProtection="1">
      <alignment horizontal="right"/>
      <protection hidden="1"/>
    </xf>
    <xf numFmtId="1" fontId="5" fillId="20" borderId="0" xfId="0" applyNumberFormat="1" applyFont="1" applyFill="1" applyBorder="1" applyAlignment="1" applyProtection="1">
      <alignment horizontal="right"/>
      <protection hidden="1"/>
    </xf>
    <xf numFmtId="0" fontId="37" fillId="20" borderId="0" xfId="0" applyFont="1" applyFill="1" applyAlignment="1" applyProtection="1">
      <alignment horizontal="right"/>
      <protection hidden="1"/>
    </xf>
    <xf numFmtId="172" fontId="37" fillId="20" borderId="0" xfId="0" applyNumberFormat="1" applyFont="1" applyFill="1" applyBorder="1" applyAlignment="1" applyProtection="1">
      <alignment horizontal="right"/>
      <protection hidden="1"/>
    </xf>
    <xf numFmtId="0" fontId="37" fillId="20" borderId="0" xfId="0" applyFont="1" applyFill="1" applyAlignment="1" applyProtection="1">
      <alignment/>
      <protection hidden="1"/>
    </xf>
    <xf numFmtId="1" fontId="5" fillId="0" borderId="18" xfId="0" applyNumberFormat="1" applyFont="1" applyFill="1" applyBorder="1" applyAlignment="1" applyProtection="1">
      <alignment horizontal="right"/>
      <protection hidden="1"/>
    </xf>
    <xf numFmtId="0" fontId="54" fillId="20" borderId="0" xfId="0" applyFont="1" applyFill="1" applyAlignment="1" applyProtection="1">
      <alignment/>
      <protection hidden="1"/>
    </xf>
    <xf numFmtId="0" fontId="0" fillId="20" borderId="0" xfId="0" applyFill="1" applyAlignment="1" applyProtection="1">
      <alignment/>
      <protection hidden="1" locked="0"/>
    </xf>
    <xf numFmtId="0" fontId="8" fillId="20" borderId="0" xfId="0" applyFont="1" applyFill="1" applyAlignment="1" applyProtection="1">
      <alignment/>
      <protection hidden="1" locked="0"/>
    </xf>
    <xf numFmtId="0" fontId="21" fillId="20" borderId="0" xfId="0" applyFont="1" applyFill="1" applyAlignment="1" applyProtection="1">
      <alignment/>
      <protection hidden="1" locked="0"/>
    </xf>
    <xf numFmtId="0" fontId="8" fillId="20" borderId="0" xfId="0" applyFont="1" applyFill="1" applyAlignment="1" applyProtection="1">
      <alignment/>
      <protection hidden="1" locked="0"/>
    </xf>
    <xf numFmtId="0" fontId="1" fillId="20" borderId="0" xfId="0" applyFont="1" applyFill="1" applyAlignment="1" applyProtection="1">
      <alignment/>
      <protection hidden="1" locked="0"/>
    </xf>
    <xf numFmtId="0" fontId="14" fillId="20" borderId="0" xfId="0" applyFont="1" applyFill="1" applyBorder="1" applyAlignment="1" applyProtection="1">
      <alignment/>
      <protection hidden="1" locked="0"/>
    </xf>
    <xf numFmtId="0" fontId="12" fillId="0" borderId="18" xfId="0" applyFont="1" applyFill="1" applyBorder="1" applyAlignment="1" applyProtection="1">
      <alignment horizontal="center"/>
      <protection hidden="1" locked="0"/>
    </xf>
    <xf numFmtId="2" fontId="21" fillId="0" borderId="0" xfId="0" applyNumberFormat="1" applyFont="1" applyBorder="1" applyAlignment="1">
      <alignment/>
    </xf>
    <xf numFmtId="0" fontId="29" fillId="20" borderId="0" xfId="0" applyFont="1" applyFill="1" applyAlignment="1" applyProtection="1">
      <alignment horizontal="right"/>
      <protection hidden="1"/>
    </xf>
    <xf numFmtId="0" fontId="29" fillId="20" borderId="0" xfId="0" applyFont="1" applyFill="1" applyAlignment="1" applyProtection="1">
      <alignment/>
      <protection hidden="1"/>
    </xf>
    <xf numFmtId="0" fontId="0" fillId="20" borderId="0" xfId="0" applyFont="1" applyFill="1" applyAlignment="1" applyProtection="1">
      <alignment horizontal="left" vertical="top" wrapText="1"/>
      <protection hidden="1"/>
    </xf>
    <xf numFmtId="0" fontId="43" fillId="20" borderId="0" xfId="0" applyFont="1" applyFill="1" applyAlignment="1" applyProtection="1">
      <alignment vertical="top" wrapText="1"/>
      <protection hidden="1"/>
    </xf>
    <xf numFmtId="0" fontId="28" fillId="20" borderId="0" xfId="0" applyFont="1" applyFill="1" applyAlignment="1" applyProtection="1">
      <alignment/>
      <protection hidden="1"/>
    </xf>
    <xf numFmtId="0" fontId="19" fillId="20" borderId="0" xfId="0" applyFont="1" applyFill="1" applyAlignment="1" applyProtection="1">
      <alignment/>
      <protection hidden="1"/>
    </xf>
    <xf numFmtId="0" fontId="19" fillId="20" borderId="0" xfId="0" applyFont="1" applyFill="1" applyAlignment="1" applyProtection="1">
      <alignment vertical="top"/>
      <protection hidden="1"/>
    </xf>
    <xf numFmtId="0" fontId="9" fillId="20" borderId="0" xfId="0" applyFont="1" applyFill="1" applyAlignment="1" applyProtection="1">
      <alignment vertical="top"/>
      <protection hidden="1"/>
    </xf>
    <xf numFmtId="0" fontId="7" fillId="20" borderId="0" xfId="0" applyFont="1" applyFill="1" applyAlignment="1" applyProtection="1">
      <alignment vertical="top"/>
      <protection hidden="1"/>
    </xf>
    <xf numFmtId="0" fontId="52" fillId="20" borderId="0" xfId="0" applyFont="1" applyFill="1" applyAlignment="1" applyProtection="1">
      <alignment/>
      <protection hidden="1"/>
    </xf>
    <xf numFmtId="2" fontId="23" fillId="0" borderId="18" xfId="0" applyNumberFormat="1" applyFont="1" applyFill="1" applyBorder="1" applyAlignment="1" applyProtection="1">
      <alignment/>
      <protection hidden="1" locked="0"/>
    </xf>
    <xf numFmtId="2" fontId="23" fillId="20" borderId="0" xfId="0" applyNumberFormat="1" applyFont="1" applyFill="1" applyBorder="1" applyAlignment="1" applyProtection="1">
      <alignment/>
      <protection hidden="1"/>
    </xf>
    <xf numFmtId="0" fontId="7" fillId="20" borderId="0" xfId="0" applyFont="1" applyFill="1" applyAlignment="1" applyProtection="1">
      <alignment/>
      <protection hidden="1"/>
    </xf>
    <xf numFmtId="0" fontId="0" fillId="20" borderId="0" xfId="0" applyFont="1" applyFill="1" applyAlignment="1" applyProtection="1">
      <alignment vertical="top" wrapText="1"/>
      <protection hidden="1"/>
    </xf>
    <xf numFmtId="0" fontId="71" fillId="20" borderId="0" xfId="45" applyFill="1" applyAlignment="1" applyProtection="1">
      <alignment horizontal="left" vertical="top" wrapText="1"/>
      <protection hidden="1"/>
    </xf>
    <xf numFmtId="0" fontId="17" fillId="20" borderId="0" xfId="0" applyFont="1" applyFill="1" applyAlignment="1" applyProtection="1">
      <alignment horizontal="center"/>
      <protection hidden="1"/>
    </xf>
    <xf numFmtId="0" fontId="49" fillId="20" borderId="0" xfId="0" applyFont="1" applyFill="1" applyAlignment="1" applyProtection="1">
      <alignment horizontal="center"/>
      <protection hidden="1"/>
    </xf>
    <xf numFmtId="0" fontId="51" fillId="20" borderId="0" xfId="0" applyFont="1" applyFill="1" applyAlignment="1" applyProtection="1">
      <alignment horizontal="center"/>
      <protection hidden="1"/>
    </xf>
    <xf numFmtId="0" fontId="51" fillId="20" borderId="0" xfId="0" applyFont="1" applyFill="1" applyAlignment="1" applyProtection="1">
      <alignment horizontal="center" vertical="center"/>
      <protection hidden="1"/>
    </xf>
    <xf numFmtId="0" fontId="73" fillId="20" borderId="0" xfId="0" applyFont="1" applyFill="1" applyAlignment="1" applyProtection="1">
      <alignment/>
      <protection hidden="1"/>
    </xf>
    <xf numFmtId="0" fontId="7" fillId="20" borderId="0" xfId="0" applyFont="1" applyFill="1" applyAlignment="1" applyProtection="1">
      <alignment/>
      <protection hidden="1"/>
    </xf>
    <xf numFmtId="0" fontId="0" fillId="20" borderId="0" xfId="0" applyFill="1" applyBorder="1" applyAlignment="1" applyProtection="1">
      <alignment horizontal="left"/>
      <protection hidden="1"/>
    </xf>
    <xf numFmtId="0" fontId="26" fillId="20" borderId="0" xfId="0" applyFont="1" applyFill="1" applyAlignment="1" applyProtection="1">
      <alignment horizontal="right"/>
      <protection hidden="1"/>
    </xf>
    <xf numFmtId="0" fontId="18" fillId="20" borderId="0" xfId="0" applyFont="1" applyFill="1" applyAlignment="1" applyProtection="1">
      <alignment horizontal="center"/>
      <protection hidden="1"/>
    </xf>
    <xf numFmtId="0" fontId="8" fillId="20" borderId="0" xfId="0" applyFont="1" applyFill="1" applyAlignment="1" applyProtection="1">
      <alignment/>
      <protection locked="0"/>
    </xf>
    <xf numFmtId="0" fontId="28" fillId="20" borderId="0" xfId="0" applyFont="1" applyFill="1" applyAlignment="1" applyProtection="1">
      <alignment/>
      <protection hidden="1" locked="0"/>
    </xf>
    <xf numFmtId="0" fontId="27" fillId="20" borderId="0" xfId="0" applyFont="1" applyFill="1" applyAlignment="1" applyProtection="1">
      <alignment vertical="center"/>
      <protection hidden="1"/>
    </xf>
    <xf numFmtId="0" fontId="39" fillId="20" borderId="0" xfId="0" applyFont="1" applyFill="1" applyAlignment="1" applyProtection="1">
      <alignment vertical="top" wrapText="1"/>
      <protection hidden="1"/>
    </xf>
    <xf numFmtId="0" fontId="16" fillId="20" borderId="0" xfId="0" applyFont="1" applyFill="1" applyAlignment="1" applyProtection="1">
      <alignment/>
      <protection hidden="1" locked="0"/>
    </xf>
    <xf numFmtId="0" fontId="71" fillId="20" borderId="0" xfId="45" applyFill="1" applyAlignment="1" applyProtection="1">
      <alignment vertical="top" wrapText="1"/>
      <protection hidden="1" locked="0"/>
    </xf>
    <xf numFmtId="0" fontId="27" fillId="20" borderId="0" xfId="0" applyFont="1" applyFill="1" applyAlignment="1" applyProtection="1">
      <alignment vertical="top"/>
      <protection/>
    </xf>
    <xf numFmtId="0" fontId="0" fillId="20" borderId="0" xfId="0" applyFont="1" applyFill="1" applyAlignment="1" applyProtection="1">
      <alignment/>
      <protection/>
    </xf>
    <xf numFmtId="0" fontId="0" fillId="5" borderId="0" xfId="0" applyFill="1" applyAlignment="1">
      <alignment/>
    </xf>
    <xf numFmtId="0" fontId="0" fillId="5" borderId="0" xfId="0" applyFont="1" applyFill="1" applyAlignment="1" applyProtection="1">
      <alignment/>
      <protection hidden="1"/>
    </xf>
    <xf numFmtId="1" fontId="0" fillId="0" borderId="0" xfId="0" applyNumberFormat="1" applyFont="1" applyAlignment="1">
      <alignment horizontal="center"/>
    </xf>
    <xf numFmtId="0" fontId="0" fillId="0" borderId="0" xfId="0" applyFont="1" applyFill="1" applyAlignment="1" applyProtection="1">
      <alignment horizontal="center"/>
      <protection hidden="1"/>
    </xf>
    <xf numFmtId="0" fontId="0" fillId="24" borderId="0" xfId="0" applyFill="1" applyAlignment="1">
      <alignment/>
    </xf>
    <xf numFmtId="0" fontId="0" fillId="20" borderId="0" xfId="0" applyFont="1" applyFill="1" applyAlignment="1" applyProtection="1">
      <alignment/>
      <protection hidden="1"/>
    </xf>
    <xf numFmtId="0" fontId="94" fillId="20" borderId="0" xfId="0" applyFont="1" applyFill="1" applyAlignment="1" applyProtection="1">
      <alignment/>
      <protection hidden="1"/>
    </xf>
    <xf numFmtId="0" fontId="0" fillId="20" borderId="0" xfId="0" applyFont="1" applyFill="1" applyAlignment="1" applyProtection="1">
      <alignment/>
      <protection hidden="1" locked="0"/>
    </xf>
    <xf numFmtId="0" fontId="0" fillId="20" borderId="0" xfId="0" applyFont="1" applyFill="1" applyAlignment="1">
      <alignment horizontal="center"/>
    </xf>
    <xf numFmtId="0" fontId="21" fillId="7" borderId="0" xfId="0" applyFont="1" applyFill="1" applyAlignment="1" applyProtection="1">
      <alignment/>
      <protection hidden="1"/>
    </xf>
    <xf numFmtId="2" fontId="21" fillId="7" borderId="0" xfId="0" applyNumberFormat="1" applyFont="1" applyFill="1" applyAlignment="1">
      <alignment/>
    </xf>
    <xf numFmtId="172" fontId="0" fillId="0" borderId="0" xfId="0" applyNumberFormat="1" applyAlignment="1">
      <alignment/>
    </xf>
    <xf numFmtId="0" fontId="0" fillId="20" borderId="0" xfId="0" applyFont="1" applyFill="1" applyAlignment="1" applyProtection="1">
      <alignment/>
      <protection hidden="1"/>
    </xf>
    <xf numFmtId="0" fontId="14" fillId="20" borderId="0" xfId="0" applyFont="1" applyFill="1" applyAlignment="1" applyProtection="1">
      <alignment/>
      <protection hidden="1" locked="0"/>
    </xf>
    <xf numFmtId="1" fontId="5" fillId="0" borderId="31" xfId="0" applyNumberFormat="1" applyFont="1" applyFill="1" applyBorder="1" applyAlignment="1" applyProtection="1">
      <alignment horizontal="center" vertical="center"/>
      <protection hidden="1"/>
    </xf>
    <xf numFmtId="1" fontId="23" fillId="25" borderId="31" xfId="0" applyNumberFormat="1" applyFont="1" applyFill="1" applyBorder="1" applyAlignment="1" applyProtection="1">
      <alignment horizontal="center"/>
      <protection/>
    </xf>
    <xf numFmtId="1" fontId="23" fillId="25" borderId="32" xfId="0" applyNumberFormat="1" applyFont="1" applyFill="1" applyBorder="1" applyAlignment="1" applyProtection="1">
      <alignment horizontal="center"/>
      <protection/>
    </xf>
    <xf numFmtId="1" fontId="23" fillId="25" borderId="33" xfId="0" applyNumberFormat="1" applyFont="1" applyFill="1" applyBorder="1" applyAlignment="1" applyProtection="1">
      <alignment horizontal="center"/>
      <protection/>
    </xf>
    <xf numFmtId="0" fontId="0" fillId="20" borderId="0" xfId="0" applyFill="1" applyAlignment="1" applyProtection="1">
      <alignment horizontal="left" vertical="center" wrapText="1"/>
      <protection/>
    </xf>
    <xf numFmtId="0" fontId="0" fillId="20" borderId="0" xfId="0" applyFont="1" applyFill="1" applyAlignment="1" applyProtection="1">
      <alignment horizontal="left" vertical="top" wrapText="1"/>
      <protection hidden="1"/>
    </xf>
    <xf numFmtId="0" fontId="0" fillId="0" borderId="31" xfId="0" applyFill="1" applyBorder="1" applyAlignment="1" applyProtection="1">
      <alignment horizontal="left"/>
      <protection locked="0"/>
    </xf>
    <xf numFmtId="0" fontId="0" fillId="0" borderId="33" xfId="0" applyFill="1" applyBorder="1" applyAlignment="1" applyProtection="1">
      <alignment horizontal="left"/>
      <protection locked="0"/>
    </xf>
    <xf numFmtId="0" fontId="75" fillId="20" borderId="23" xfId="45" applyFont="1" applyFill="1" applyBorder="1" applyAlignment="1" applyProtection="1">
      <alignment horizontal="center" vertical="top" wrapText="1"/>
      <protection hidden="1"/>
    </xf>
    <xf numFmtId="0" fontId="71" fillId="0" borderId="31" xfId="45" applyFont="1" applyFill="1" applyBorder="1" applyAlignment="1" applyProtection="1">
      <alignment horizontal="left"/>
      <protection locked="0"/>
    </xf>
    <xf numFmtId="0" fontId="71" fillId="0" borderId="33" xfId="45" applyFill="1" applyBorder="1" applyAlignment="1" applyProtection="1">
      <alignment horizontal="left"/>
      <protection locked="0"/>
    </xf>
    <xf numFmtId="0" fontId="18" fillId="20" borderId="0" xfId="0" applyFont="1" applyFill="1" applyAlignment="1" applyProtection="1">
      <alignment horizontal="left" vertical="center"/>
      <protection hidden="1"/>
    </xf>
    <xf numFmtId="0" fontId="0" fillId="20" borderId="0" xfId="0" applyFill="1" applyAlignment="1" applyProtection="1">
      <alignment horizontal="left" vertical="top" wrapText="1"/>
      <protection hidden="1"/>
    </xf>
    <xf numFmtId="0" fontId="48" fillId="20" borderId="0" xfId="0" applyFont="1" applyFill="1" applyAlignment="1" applyProtection="1">
      <alignment horizontal="left" vertical="top" wrapText="1"/>
      <protection hidden="1"/>
    </xf>
    <xf numFmtId="0" fontId="0" fillId="20" borderId="0" xfId="0" applyFill="1" applyAlignment="1" applyProtection="1">
      <alignment horizontal="left"/>
      <protection hidden="1"/>
    </xf>
    <xf numFmtId="0" fontId="55" fillId="20" borderId="0" xfId="0" applyFont="1" applyFill="1" applyAlignment="1" applyProtection="1">
      <alignment horizontal="center"/>
      <protection hidden="1"/>
    </xf>
    <xf numFmtId="0" fontId="1" fillId="20" borderId="0" xfId="0" applyFont="1" applyFill="1" applyAlignment="1" applyProtection="1">
      <alignment horizontal="left"/>
      <protection hidden="1"/>
    </xf>
    <xf numFmtId="0" fontId="0" fillId="20" borderId="0" xfId="0" applyFill="1" applyAlignment="1" applyProtection="1">
      <alignment vertical="top" wrapText="1"/>
      <protection hidden="1"/>
    </xf>
    <xf numFmtId="0" fontId="0" fillId="20" borderId="0" xfId="0" applyFont="1" applyFill="1" applyAlignment="1" applyProtection="1">
      <alignment horizontal="left"/>
      <protection hidden="1"/>
    </xf>
    <xf numFmtId="0" fontId="27" fillId="20" borderId="0" xfId="0" applyFont="1" applyFill="1" applyAlignment="1" applyProtection="1">
      <alignment horizontal="center"/>
      <protection hidden="1"/>
    </xf>
    <xf numFmtId="0" fontId="0" fillId="20" borderId="0" xfId="0" applyFont="1" applyFill="1" applyAlignment="1" applyProtection="1">
      <alignment horizontal="left"/>
      <protection hidden="1"/>
    </xf>
    <xf numFmtId="0" fontId="0" fillId="20" borderId="0" xfId="0" applyFill="1" applyAlignment="1" applyProtection="1">
      <alignment horizontal="left" wrapText="1"/>
      <protection hidden="1"/>
    </xf>
    <xf numFmtId="0" fontId="0" fillId="20" borderId="0" xfId="0" applyFill="1" applyAlignment="1" applyProtection="1">
      <alignment wrapText="1"/>
      <protection hidden="1"/>
    </xf>
    <xf numFmtId="0" fontId="9" fillId="20" borderId="0" xfId="0" applyFont="1" applyFill="1" applyAlignment="1" applyProtection="1">
      <alignment horizontal="left" vertical="top" wrapText="1"/>
      <protection hidden="1"/>
    </xf>
    <xf numFmtId="0" fontId="0" fillId="20" borderId="0" xfId="0" applyFont="1" applyFill="1" applyAlignment="1" applyProtection="1">
      <alignment horizontal="left"/>
      <protection/>
    </xf>
    <xf numFmtId="0" fontId="27" fillId="20" borderId="0" xfId="0" applyFont="1" applyFill="1" applyAlignment="1" applyProtection="1">
      <alignment horizontal="left"/>
      <protection/>
    </xf>
    <xf numFmtId="0" fontId="7" fillId="20" borderId="0" xfId="0" applyFont="1" applyFill="1" applyAlignment="1" applyProtection="1">
      <alignment horizontal="left"/>
      <protection/>
    </xf>
    <xf numFmtId="0" fontId="7" fillId="20" borderId="0" xfId="0" applyFont="1" applyFill="1" applyAlignment="1" applyProtection="1">
      <alignment/>
      <protection/>
    </xf>
    <xf numFmtId="0" fontId="48" fillId="20" borderId="0" xfId="0" applyFont="1" applyFill="1" applyAlignment="1" applyProtection="1">
      <alignment horizontal="left" vertical="center" wrapText="1"/>
      <protection hidden="1"/>
    </xf>
    <xf numFmtId="0" fontId="27" fillId="20" borderId="0" xfId="0" applyFont="1" applyFill="1" applyAlignment="1" applyProtection="1">
      <alignment horizontal="left" vertical="center"/>
      <protection hidden="1"/>
    </xf>
    <xf numFmtId="0" fontId="27" fillId="20" borderId="0" xfId="0" applyFont="1" applyFill="1" applyAlignment="1" applyProtection="1">
      <alignment horizontal="left" vertical="center" wrapText="1"/>
      <protection hidden="1"/>
    </xf>
    <xf numFmtId="0" fontId="39" fillId="20" borderId="0" xfId="0" applyFont="1" applyFill="1" applyAlignment="1" applyProtection="1">
      <alignment horizontal="left" vertical="top" wrapText="1"/>
      <protection hidden="1"/>
    </xf>
    <xf numFmtId="1" fontId="5" fillId="0" borderId="32" xfId="0" applyNumberFormat="1" applyFont="1" applyFill="1" applyBorder="1" applyAlignment="1" applyProtection="1">
      <alignment horizontal="center" vertical="center"/>
      <protection hidden="1"/>
    </xf>
    <xf numFmtId="1" fontId="5" fillId="0" borderId="33" xfId="0" applyNumberFormat="1" applyFont="1" applyFill="1" applyBorder="1" applyAlignment="1" applyProtection="1">
      <alignment horizontal="center" vertical="center"/>
      <protection hidden="1"/>
    </xf>
    <xf numFmtId="0" fontId="20" fillId="0" borderId="31" xfId="0" applyFont="1" applyFill="1" applyBorder="1" applyAlignment="1" applyProtection="1">
      <alignment horizontal="center" vertical="center"/>
      <protection hidden="1"/>
    </xf>
    <xf numFmtId="0" fontId="20" fillId="0" borderId="32" xfId="0" applyFont="1" applyFill="1" applyBorder="1" applyAlignment="1" applyProtection="1">
      <alignment horizontal="center" vertical="center"/>
      <protection hidden="1"/>
    </xf>
    <xf numFmtId="0" fontId="20" fillId="0" borderId="33" xfId="0" applyFont="1" applyFill="1" applyBorder="1" applyAlignment="1" applyProtection="1">
      <alignment horizontal="center" vertical="center"/>
      <protection hidden="1"/>
    </xf>
    <xf numFmtId="0" fontId="17" fillId="20" borderId="0" xfId="0" applyFont="1" applyFill="1" applyAlignment="1">
      <alignment horizontal="left" vertical="center"/>
    </xf>
    <xf numFmtId="1" fontId="7" fillId="20" borderId="0" xfId="0" applyNumberFormat="1" applyFont="1" applyFill="1" applyBorder="1" applyAlignment="1" applyProtection="1">
      <alignment horizontal="right"/>
      <protection hidden="1"/>
    </xf>
    <xf numFmtId="0" fontId="7" fillId="20" borderId="0" xfId="0" applyFont="1" applyFill="1" applyBorder="1" applyAlignment="1" applyProtection="1">
      <alignment horizontal="right"/>
      <protection hidden="1"/>
    </xf>
    <xf numFmtId="2" fontId="12" fillId="25" borderId="31" xfId="0" applyNumberFormat="1" applyFont="1" applyFill="1" applyBorder="1" applyAlignment="1">
      <alignment horizontal="right"/>
    </xf>
    <xf numFmtId="2" fontId="12" fillId="25" borderId="33" xfId="0" applyNumberFormat="1" applyFont="1" applyFill="1" applyBorder="1" applyAlignment="1">
      <alignment horizontal="right"/>
    </xf>
    <xf numFmtId="1" fontId="23" fillId="0" borderId="0" xfId="0" applyNumberFormat="1" applyFont="1" applyFill="1" applyAlignment="1" applyProtection="1">
      <alignment horizontal="right"/>
      <protection hidden="1"/>
    </xf>
    <xf numFmtId="0" fontId="23" fillId="0" borderId="0" xfId="0" applyFont="1" applyFill="1" applyAlignment="1" applyProtection="1">
      <alignment horizontal="right"/>
      <protection hidden="1"/>
    </xf>
    <xf numFmtId="1" fontId="58" fillId="0" borderId="0" xfId="0" applyNumberFormat="1" applyFont="1" applyFill="1" applyAlignment="1" applyProtection="1">
      <alignment horizontal="right"/>
      <protection hidden="1"/>
    </xf>
    <xf numFmtId="0" fontId="58" fillId="0" borderId="0" xfId="0" applyFont="1" applyFill="1" applyAlignment="1" applyProtection="1">
      <alignment horizontal="right"/>
      <protection hidden="1"/>
    </xf>
    <xf numFmtId="1" fontId="12" fillId="0" borderId="0" xfId="0" applyNumberFormat="1" applyFont="1" applyFill="1" applyAlignment="1" applyProtection="1">
      <alignment horizontal="right"/>
      <protection hidden="1"/>
    </xf>
    <xf numFmtId="2" fontId="0" fillId="0" borderId="0" xfId="0" applyNumberFormat="1" applyAlignment="1">
      <alignment horizontal="center"/>
    </xf>
    <xf numFmtId="0" fontId="1"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4">
    <dxf>
      <font>
        <b/>
        <i val="0"/>
        <color indexed="10"/>
      </font>
    </dxf>
    <dxf>
      <font>
        <b/>
        <i val="0"/>
        <color indexed="10"/>
      </font>
      <fill>
        <patternFill patternType="none">
          <bgColor indexed="65"/>
        </patternFill>
      </fill>
    </dxf>
    <dxf>
      <font>
        <color indexed="22"/>
      </font>
    </dxf>
    <dxf>
      <font>
        <color indexed="9"/>
      </font>
    </dxf>
    <dxf>
      <font>
        <color indexed="55"/>
      </font>
    </dxf>
    <dxf>
      <font>
        <color indexed="9"/>
      </font>
    </dxf>
    <dxf>
      <font>
        <color indexed="22"/>
      </font>
    </dxf>
    <dxf>
      <font>
        <strike val="0"/>
        <color indexed="22"/>
      </font>
    </dxf>
    <dxf>
      <font>
        <color indexed="22"/>
      </font>
    </dxf>
    <dxf>
      <font>
        <color indexed="22"/>
      </font>
      <fill>
        <patternFill>
          <bgColor indexed="22"/>
        </patternFill>
      </fill>
      <border>
        <left/>
        <right/>
        <top/>
        <bottom/>
      </border>
    </dxf>
    <dxf>
      <font>
        <color indexed="22"/>
      </font>
    </dxf>
    <dxf>
      <font>
        <color indexed="22"/>
      </font>
      <fill>
        <patternFill>
          <fgColor indexed="22"/>
        </patternFill>
      </fill>
    </dxf>
    <dxf>
      <font>
        <color indexed="22"/>
      </font>
    </dxf>
    <dxf>
      <font>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6.png" /><Relationship Id="rId3" Type="http://schemas.openxmlformats.org/officeDocument/2006/relationships/image" Target="../media/image7.jpeg" /><Relationship Id="rId4" Type="http://schemas.openxmlformats.org/officeDocument/2006/relationships/image" Target="../media/image8.jpeg" /><Relationship Id="rId5" Type="http://schemas.openxmlformats.org/officeDocument/2006/relationships/image" Target="../media/image9.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 Id="rId5" Type="http://schemas.openxmlformats.org/officeDocument/2006/relationships/image" Target="../media/image1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114300</xdr:rowOff>
    </xdr:from>
    <xdr:to>
      <xdr:col>2</xdr:col>
      <xdr:colOff>9525</xdr:colOff>
      <xdr:row>2</xdr:row>
      <xdr:rowOff>38100</xdr:rowOff>
    </xdr:to>
    <xdr:pic>
      <xdr:nvPicPr>
        <xdr:cNvPr id="1" name="Picture 1" descr="cuivre2"/>
        <xdr:cNvPicPr preferRelativeResize="1">
          <a:picLocks noChangeAspect="1"/>
        </xdr:cNvPicPr>
      </xdr:nvPicPr>
      <xdr:blipFill>
        <a:blip r:embed="rId1"/>
        <a:stretch>
          <a:fillRect/>
        </a:stretch>
      </xdr:blipFill>
      <xdr:spPr>
        <a:xfrm>
          <a:off x="95250" y="114300"/>
          <a:ext cx="1524000" cy="314325"/>
        </a:xfrm>
        <a:prstGeom prst="rect">
          <a:avLst/>
        </a:prstGeom>
        <a:noFill/>
        <a:ln w="9525" cmpd="sng">
          <a:noFill/>
        </a:ln>
      </xdr:spPr>
    </xdr:pic>
    <xdr:clientData/>
  </xdr:twoCellAnchor>
  <xdr:twoCellAnchor editAs="oneCell">
    <xdr:from>
      <xdr:col>3</xdr:col>
      <xdr:colOff>19050</xdr:colOff>
      <xdr:row>6</xdr:row>
      <xdr:rowOff>47625</xdr:rowOff>
    </xdr:from>
    <xdr:to>
      <xdr:col>5</xdr:col>
      <xdr:colOff>104775</xdr:colOff>
      <xdr:row>14</xdr:row>
      <xdr:rowOff>0</xdr:rowOff>
    </xdr:to>
    <xdr:pic>
      <xdr:nvPicPr>
        <xdr:cNvPr id="2" name="Picture 2" descr="avant_m"/>
        <xdr:cNvPicPr preferRelativeResize="1">
          <a:picLocks noChangeAspect="1"/>
        </xdr:cNvPicPr>
      </xdr:nvPicPr>
      <xdr:blipFill>
        <a:blip r:embed="rId2"/>
        <a:stretch>
          <a:fillRect/>
        </a:stretch>
      </xdr:blipFill>
      <xdr:spPr>
        <a:xfrm>
          <a:off x="2676525" y="1238250"/>
          <a:ext cx="1895475" cy="1247775"/>
        </a:xfrm>
        <a:prstGeom prst="rect">
          <a:avLst/>
        </a:prstGeom>
        <a:noFill/>
        <a:ln w="9525" cmpd="sng">
          <a:noFill/>
        </a:ln>
      </xdr:spPr>
    </xdr:pic>
    <xdr:clientData/>
  </xdr:twoCellAnchor>
  <xdr:twoCellAnchor editAs="oneCell">
    <xdr:from>
      <xdr:col>5</xdr:col>
      <xdr:colOff>342900</xdr:colOff>
      <xdr:row>6</xdr:row>
      <xdr:rowOff>38100</xdr:rowOff>
    </xdr:from>
    <xdr:to>
      <xdr:col>7</xdr:col>
      <xdr:colOff>742950</xdr:colOff>
      <xdr:row>14</xdr:row>
      <xdr:rowOff>0</xdr:rowOff>
    </xdr:to>
    <xdr:pic>
      <xdr:nvPicPr>
        <xdr:cNvPr id="3" name="Picture 3" descr="apres_m"/>
        <xdr:cNvPicPr preferRelativeResize="1">
          <a:picLocks noChangeAspect="1"/>
        </xdr:cNvPicPr>
      </xdr:nvPicPr>
      <xdr:blipFill>
        <a:blip r:embed="rId3"/>
        <a:stretch>
          <a:fillRect/>
        </a:stretch>
      </xdr:blipFill>
      <xdr:spPr>
        <a:xfrm>
          <a:off x="4810125" y="1228725"/>
          <a:ext cx="18954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771525</xdr:colOff>
      <xdr:row>0</xdr:row>
      <xdr:rowOff>142875</xdr:rowOff>
    </xdr:from>
    <xdr:to>
      <xdr:col>24</xdr:col>
      <xdr:colOff>581025</xdr:colOff>
      <xdr:row>2</xdr:row>
      <xdr:rowOff>28575</xdr:rowOff>
    </xdr:to>
    <xdr:pic>
      <xdr:nvPicPr>
        <xdr:cNvPr id="1" name="Picture 10" descr="cuivre2"/>
        <xdr:cNvPicPr preferRelativeResize="1">
          <a:picLocks noChangeAspect="1"/>
        </xdr:cNvPicPr>
      </xdr:nvPicPr>
      <xdr:blipFill>
        <a:blip r:embed="rId1"/>
        <a:stretch>
          <a:fillRect/>
        </a:stretch>
      </xdr:blipFill>
      <xdr:spPr>
        <a:xfrm>
          <a:off x="6648450" y="142875"/>
          <a:ext cx="1524000" cy="314325"/>
        </a:xfrm>
        <a:prstGeom prst="rect">
          <a:avLst/>
        </a:prstGeom>
        <a:noFill/>
        <a:ln w="9525" cmpd="sng">
          <a:noFill/>
        </a:ln>
      </xdr:spPr>
    </xdr:pic>
    <xdr:clientData/>
  </xdr:twoCellAnchor>
  <xdr:twoCellAnchor editAs="oneCell">
    <xdr:from>
      <xdr:col>2</xdr:col>
      <xdr:colOff>133350</xdr:colOff>
      <xdr:row>34</xdr:row>
      <xdr:rowOff>9525</xdr:rowOff>
    </xdr:from>
    <xdr:to>
      <xdr:col>14</xdr:col>
      <xdr:colOff>66675</xdr:colOff>
      <xdr:row>64</xdr:row>
      <xdr:rowOff>19050</xdr:rowOff>
    </xdr:to>
    <xdr:pic>
      <xdr:nvPicPr>
        <xdr:cNvPr id="2" name="Picture 31" descr="coupe_horiz"/>
        <xdr:cNvPicPr preferRelativeResize="1">
          <a:picLocks noChangeAspect="1"/>
        </xdr:cNvPicPr>
      </xdr:nvPicPr>
      <xdr:blipFill>
        <a:blip r:embed="rId2"/>
        <a:stretch>
          <a:fillRect/>
        </a:stretch>
      </xdr:blipFill>
      <xdr:spPr>
        <a:xfrm>
          <a:off x="495300" y="5476875"/>
          <a:ext cx="3810000" cy="4867275"/>
        </a:xfrm>
        <a:prstGeom prst="rect">
          <a:avLst/>
        </a:prstGeom>
        <a:noFill/>
        <a:ln w="9525" cmpd="sng">
          <a:noFill/>
        </a:ln>
      </xdr:spPr>
    </xdr:pic>
    <xdr:clientData/>
  </xdr:twoCellAnchor>
  <xdr:twoCellAnchor editAs="oneCell">
    <xdr:from>
      <xdr:col>16</xdr:col>
      <xdr:colOff>28575</xdr:colOff>
      <xdr:row>34</xdr:row>
      <xdr:rowOff>9525</xdr:rowOff>
    </xdr:from>
    <xdr:to>
      <xdr:col>24</xdr:col>
      <xdr:colOff>942975</xdr:colOff>
      <xdr:row>54</xdr:row>
      <xdr:rowOff>123825</xdr:rowOff>
    </xdr:to>
    <xdr:pic>
      <xdr:nvPicPr>
        <xdr:cNvPr id="3" name="Picture 32" descr="coupe_vert"/>
        <xdr:cNvPicPr preferRelativeResize="1">
          <a:picLocks noChangeAspect="1"/>
        </xdr:cNvPicPr>
      </xdr:nvPicPr>
      <xdr:blipFill>
        <a:blip r:embed="rId3"/>
        <a:stretch>
          <a:fillRect/>
        </a:stretch>
      </xdr:blipFill>
      <xdr:spPr>
        <a:xfrm>
          <a:off x="4533900" y="5476875"/>
          <a:ext cx="4000500" cy="3352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3</xdr:col>
      <xdr:colOff>523875</xdr:colOff>
      <xdr:row>2</xdr:row>
      <xdr:rowOff>95250</xdr:rowOff>
    </xdr:to>
    <xdr:pic>
      <xdr:nvPicPr>
        <xdr:cNvPr id="1" name="Picture 42" descr="cuivre2"/>
        <xdr:cNvPicPr preferRelativeResize="1">
          <a:picLocks noChangeAspect="1"/>
        </xdr:cNvPicPr>
      </xdr:nvPicPr>
      <xdr:blipFill>
        <a:blip r:embed="rId1"/>
        <a:stretch>
          <a:fillRect/>
        </a:stretch>
      </xdr:blipFill>
      <xdr:spPr>
        <a:xfrm>
          <a:off x="142875" y="123825"/>
          <a:ext cx="1524000" cy="314325"/>
        </a:xfrm>
        <a:prstGeom prst="rect">
          <a:avLst/>
        </a:prstGeom>
        <a:noFill/>
        <a:ln w="9525" cmpd="sng">
          <a:noFill/>
        </a:ln>
      </xdr:spPr>
    </xdr:pic>
    <xdr:clientData/>
  </xdr:twoCellAnchor>
  <xdr:twoCellAnchor editAs="oneCell">
    <xdr:from>
      <xdr:col>23</xdr:col>
      <xdr:colOff>657225</xdr:colOff>
      <xdr:row>142</xdr:row>
      <xdr:rowOff>0</xdr:rowOff>
    </xdr:from>
    <xdr:to>
      <xdr:col>23</xdr:col>
      <xdr:colOff>2181225</xdr:colOff>
      <xdr:row>143</xdr:row>
      <xdr:rowOff>152400</xdr:rowOff>
    </xdr:to>
    <xdr:pic>
      <xdr:nvPicPr>
        <xdr:cNvPr id="2" name="Picture 43" descr="cuivre2"/>
        <xdr:cNvPicPr preferRelativeResize="1">
          <a:picLocks noChangeAspect="1"/>
        </xdr:cNvPicPr>
      </xdr:nvPicPr>
      <xdr:blipFill>
        <a:blip r:embed="rId1"/>
        <a:stretch>
          <a:fillRect/>
        </a:stretch>
      </xdr:blipFill>
      <xdr:spPr>
        <a:xfrm>
          <a:off x="6962775" y="22850475"/>
          <a:ext cx="1524000"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85725</xdr:rowOff>
    </xdr:from>
    <xdr:to>
      <xdr:col>3</xdr:col>
      <xdr:colOff>1038225</xdr:colOff>
      <xdr:row>2</xdr:row>
      <xdr:rowOff>57150</xdr:rowOff>
    </xdr:to>
    <xdr:pic>
      <xdr:nvPicPr>
        <xdr:cNvPr id="1" name="Picture 2" descr="cuivre2"/>
        <xdr:cNvPicPr preferRelativeResize="1">
          <a:picLocks noChangeAspect="1"/>
        </xdr:cNvPicPr>
      </xdr:nvPicPr>
      <xdr:blipFill>
        <a:blip r:embed="rId1"/>
        <a:stretch>
          <a:fillRect/>
        </a:stretch>
      </xdr:blipFill>
      <xdr:spPr>
        <a:xfrm>
          <a:off x="66675" y="85725"/>
          <a:ext cx="1524000" cy="314325"/>
        </a:xfrm>
        <a:prstGeom prst="rect">
          <a:avLst/>
        </a:prstGeom>
        <a:noFill/>
        <a:ln w="9525" cmpd="sng">
          <a:noFill/>
        </a:ln>
      </xdr:spPr>
    </xdr:pic>
    <xdr:clientData/>
  </xdr:twoCellAnchor>
  <xdr:twoCellAnchor editAs="oneCell">
    <xdr:from>
      <xdr:col>0</xdr:col>
      <xdr:colOff>304800</xdr:colOff>
      <xdr:row>77</xdr:row>
      <xdr:rowOff>0</xdr:rowOff>
    </xdr:from>
    <xdr:to>
      <xdr:col>5</xdr:col>
      <xdr:colOff>47625</xdr:colOff>
      <xdr:row>78</xdr:row>
      <xdr:rowOff>152400</xdr:rowOff>
    </xdr:to>
    <xdr:pic>
      <xdr:nvPicPr>
        <xdr:cNvPr id="2" name="Picture 3" descr="cuivre2"/>
        <xdr:cNvPicPr preferRelativeResize="1">
          <a:picLocks noChangeAspect="1"/>
        </xdr:cNvPicPr>
      </xdr:nvPicPr>
      <xdr:blipFill>
        <a:blip r:embed="rId1"/>
        <a:stretch>
          <a:fillRect/>
        </a:stretch>
      </xdr:blipFill>
      <xdr:spPr>
        <a:xfrm>
          <a:off x="304800" y="11525250"/>
          <a:ext cx="1524000" cy="314325"/>
        </a:xfrm>
        <a:prstGeom prst="rect">
          <a:avLst/>
        </a:prstGeom>
        <a:noFill/>
        <a:ln w="9525" cmpd="sng">
          <a:noFill/>
        </a:ln>
      </xdr:spPr>
    </xdr:pic>
    <xdr:clientData/>
  </xdr:twoCellAnchor>
  <xdr:twoCellAnchor editAs="oneCell">
    <xdr:from>
      <xdr:col>21</xdr:col>
      <xdr:colOff>114300</xdr:colOff>
      <xdr:row>14</xdr:row>
      <xdr:rowOff>104775</xdr:rowOff>
    </xdr:from>
    <xdr:to>
      <xdr:col>25</xdr:col>
      <xdr:colOff>57150</xdr:colOff>
      <xdr:row>30</xdr:row>
      <xdr:rowOff>95250</xdr:rowOff>
    </xdr:to>
    <xdr:pic>
      <xdr:nvPicPr>
        <xdr:cNvPr id="3" name="Picture 41" descr="local_dims2"/>
        <xdr:cNvPicPr preferRelativeResize="1">
          <a:picLocks noChangeAspect="1"/>
        </xdr:cNvPicPr>
      </xdr:nvPicPr>
      <xdr:blipFill>
        <a:blip r:embed="rId2"/>
        <a:stretch>
          <a:fillRect/>
        </a:stretch>
      </xdr:blipFill>
      <xdr:spPr>
        <a:xfrm>
          <a:off x="5600700" y="2581275"/>
          <a:ext cx="3438525" cy="2428875"/>
        </a:xfrm>
        <a:prstGeom prst="rect">
          <a:avLst/>
        </a:prstGeom>
        <a:noFill/>
        <a:ln w="9525" cmpd="sng">
          <a:noFill/>
        </a:ln>
      </xdr:spPr>
    </xdr:pic>
    <xdr:clientData/>
  </xdr:twoCellAnchor>
  <xdr:twoCellAnchor editAs="oneCell">
    <xdr:from>
      <xdr:col>24</xdr:col>
      <xdr:colOff>200025</xdr:colOff>
      <xdr:row>53</xdr:row>
      <xdr:rowOff>57150</xdr:rowOff>
    </xdr:from>
    <xdr:to>
      <xdr:col>24</xdr:col>
      <xdr:colOff>1447800</xdr:colOff>
      <xdr:row>60</xdr:row>
      <xdr:rowOff>19050</xdr:rowOff>
    </xdr:to>
    <xdr:pic>
      <xdr:nvPicPr>
        <xdr:cNvPr id="4" name="Picture 68" descr="07"/>
        <xdr:cNvPicPr preferRelativeResize="1">
          <a:picLocks noChangeAspect="1"/>
        </xdr:cNvPicPr>
      </xdr:nvPicPr>
      <xdr:blipFill>
        <a:blip r:embed="rId3"/>
        <a:stretch>
          <a:fillRect/>
        </a:stretch>
      </xdr:blipFill>
      <xdr:spPr>
        <a:xfrm>
          <a:off x="7467600" y="8705850"/>
          <a:ext cx="1247775" cy="895350"/>
        </a:xfrm>
        <a:prstGeom prst="rect">
          <a:avLst/>
        </a:prstGeom>
        <a:noFill/>
        <a:ln w="9525" cmpd="sng">
          <a:noFill/>
        </a:ln>
      </xdr:spPr>
    </xdr:pic>
    <xdr:clientData/>
  </xdr:twoCellAnchor>
  <xdr:twoCellAnchor editAs="oneCell">
    <xdr:from>
      <xdr:col>24</xdr:col>
      <xdr:colOff>209550</xdr:colOff>
      <xdr:row>72</xdr:row>
      <xdr:rowOff>9525</xdr:rowOff>
    </xdr:from>
    <xdr:to>
      <xdr:col>24</xdr:col>
      <xdr:colOff>1457325</xdr:colOff>
      <xdr:row>78</xdr:row>
      <xdr:rowOff>0</xdr:rowOff>
    </xdr:to>
    <xdr:pic>
      <xdr:nvPicPr>
        <xdr:cNvPr id="5" name="Picture 78" descr="facade"/>
        <xdr:cNvPicPr preferRelativeResize="1">
          <a:picLocks noChangeAspect="1"/>
        </xdr:cNvPicPr>
      </xdr:nvPicPr>
      <xdr:blipFill>
        <a:blip r:embed="rId4"/>
        <a:stretch>
          <a:fillRect/>
        </a:stretch>
      </xdr:blipFill>
      <xdr:spPr>
        <a:xfrm>
          <a:off x="7477125" y="10810875"/>
          <a:ext cx="1247775" cy="876300"/>
        </a:xfrm>
        <a:prstGeom prst="rect">
          <a:avLst/>
        </a:prstGeom>
        <a:noFill/>
        <a:ln w="9525" cmpd="sng">
          <a:noFill/>
        </a:ln>
      </xdr:spPr>
    </xdr:pic>
    <xdr:clientData/>
  </xdr:twoCellAnchor>
  <xdr:twoCellAnchor editAs="oneCell">
    <xdr:from>
      <xdr:col>24</xdr:col>
      <xdr:colOff>200025</xdr:colOff>
      <xdr:row>61</xdr:row>
      <xdr:rowOff>85725</xdr:rowOff>
    </xdr:from>
    <xdr:to>
      <xdr:col>24</xdr:col>
      <xdr:colOff>1438275</xdr:colOff>
      <xdr:row>69</xdr:row>
      <xdr:rowOff>0</xdr:rowOff>
    </xdr:to>
    <xdr:pic>
      <xdr:nvPicPr>
        <xdr:cNvPr id="6" name="Picture 79" descr="doublage_madex"/>
        <xdr:cNvPicPr preferRelativeResize="1">
          <a:picLocks noChangeAspect="1"/>
        </xdr:cNvPicPr>
      </xdr:nvPicPr>
      <xdr:blipFill>
        <a:blip r:embed="rId5"/>
        <a:stretch>
          <a:fillRect/>
        </a:stretch>
      </xdr:blipFill>
      <xdr:spPr>
        <a:xfrm>
          <a:off x="7467600" y="9763125"/>
          <a:ext cx="123825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4</xdr:col>
      <xdr:colOff>9525</xdr:colOff>
      <xdr:row>2</xdr:row>
      <xdr:rowOff>104775</xdr:rowOff>
    </xdr:to>
    <xdr:pic>
      <xdr:nvPicPr>
        <xdr:cNvPr id="1" name="Picture 25" descr="cuivre2"/>
        <xdr:cNvPicPr preferRelativeResize="1">
          <a:picLocks noChangeAspect="1"/>
        </xdr:cNvPicPr>
      </xdr:nvPicPr>
      <xdr:blipFill>
        <a:blip r:embed="rId1"/>
        <a:stretch>
          <a:fillRect/>
        </a:stretch>
      </xdr:blipFill>
      <xdr:spPr>
        <a:xfrm>
          <a:off x="142875" y="123825"/>
          <a:ext cx="1524000" cy="323850"/>
        </a:xfrm>
        <a:prstGeom prst="rect">
          <a:avLst/>
        </a:prstGeom>
        <a:noFill/>
        <a:ln w="9525" cmpd="sng">
          <a:noFill/>
        </a:ln>
      </xdr:spPr>
    </xdr:pic>
    <xdr:clientData/>
  </xdr:twoCellAnchor>
  <xdr:twoCellAnchor editAs="oneCell">
    <xdr:from>
      <xdr:col>24</xdr:col>
      <xdr:colOff>1209675</xdr:colOff>
      <xdr:row>34</xdr:row>
      <xdr:rowOff>171450</xdr:rowOff>
    </xdr:from>
    <xdr:to>
      <xdr:col>24</xdr:col>
      <xdr:colOff>2543175</xdr:colOff>
      <xdr:row>41</xdr:row>
      <xdr:rowOff>19050</xdr:rowOff>
    </xdr:to>
    <xdr:pic>
      <xdr:nvPicPr>
        <xdr:cNvPr id="2" name="Picture 79" descr="04"/>
        <xdr:cNvPicPr preferRelativeResize="1">
          <a:picLocks noChangeAspect="1"/>
        </xdr:cNvPicPr>
      </xdr:nvPicPr>
      <xdr:blipFill>
        <a:blip r:embed="rId2"/>
        <a:stretch>
          <a:fillRect/>
        </a:stretch>
      </xdr:blipFill>
      <xdr:spPr>
        <a:xfrm>
          <a:off x="7400925" y="5372100"/>
          <a:ext cx="1333500" cy="914400"/>
        </a:xfrm>
        <a:prstGeom prst="rect">
          <a:avLst/>
        </a:prstGeom>
        <a:noFill/>
        <a:ln w="9525" cmpd="sng">
          <a:noFill/>
        </a:ln>
      </xdr:spPr>
    </xdr:pic>
    <xdr:clientData/>
  </xdr:twoCellAnchor>
  <xdr:twoCellAnchor editAs="oneCell">
    <xdr:from>
      <xdr:col>24</xdr:col>
      <xdr:colOff>1200150</xdr:colOff>
      <xdr:row>11</xdr:row>
      <xdr:rowOff>104775</xdr:rowOff>
    </xdr:from>
    <xdr:to>
      <xdr:col>24</xdr:col>
      <xdr:colOff>2533650</xdr:colOff>
      <xdr:row>15</xdr:row>
      <xdr:rowOff>161925</xdr:rowOff>
    </xdr:to>
    <xdr:pic>
      <xdr:nvPicPr>
        <xdr:cNvPr id="3" name="Picture 80" descr="01"/>
        <xdr:cNvPicPr preferRelativeResize="1">
          <a:picLocks noChangeAspect="1"/>
        </xdr:cNvPicPr>
      </xdr:nvPicPr>
      <xdr:blipFill>
        <a:blip r:embed="rId3"/>
        <a:stretch>
          <a:fillRect/>
        </a:stretch>
      </xdr:blipFill>
      <xdr:spPr>
        <a:xfrm>
          <a:off x="7391400" y="2143125"/>
          <a:ext cx="1333500" cy="923925"/>
        </a:xfrm>
        <a:prstGeom prst="rect">
          <a:avLst/>
        </a:prstGeom>
        <a:noFill/>
        <a:ln w="9525" cmpd="sng">
          <a:noFill/>
        </a:ln>
      </xdr:spPr>
    </xdr:pic>
    <xdr:clientData/>
  </xdr:twoCellAnchor>
  <xdr:twoCellAnchor editAs="oneCell">
    <xdr:from>
      <xdr:col>24</xdr:col>
      <xdr:colOff>1200150</xdr:colOff>
      <xdr:row>17</xdr:row>
      <xdr:rowOff>0</xdr:rowOff>
    </xdr:from>
    <xdr:to>
      <xdr:col>24</xdr:col>
      <xdr:colOff>2543175</xdr:colOff>
      <xdr:row>27</xdr:row>
      <xdr:rowOff>28575</xdr:rowOff>
    </xdr:to>
    <xdr:pic>
      <xdr:nvPicPr>
        <xdr:cNvPr id="4" name="Picture 81" descr="02"/>
        <xdr:cNvPicPr preferRelativeResize="1">
          <a:picLocks noChangeAspect="1"/>
        </xdr:cNvPicPr>
      </xdr:nvPicPr>
      <xdr:blipFill>
        <a:blip r:embed="rId4"/>
        <a:stretch>
          <a:fillRect/>
        </a:stretch>
      </xdr:blipFill>
      <xdr:spPr>
        <a:xfrm>
          <a:off x="7391400" y="3219450"/>
          <a:ext cx="1343025" cy="933450"/>
        </a:xfrm>
        <a:prstGeom prst="rect">
          <a:avLst/>
        </a:prstGeom>
        <a:noFill/>
        <a:ln w="9525" cmpd="sng">
          <a:noFill/>
        </a:ln>
      </xdr:spPr>
    </xdr:pic>
    <xdr:clientData/>
  </xdr:twoCellAnchor>
  <xdr:twoCellAnchor editAs="oneCell">
    <xdr:from>
      <xdr:col>24</xdr:col>
      <xdr:colOff>1209675</xdr:colOff>
      <xdr:row>28</xdr:row>
      <xdr:rowOff>0</xdr:rowOff>
    </xdr:from>
    <xdr:to>
      <xdr:col>24</xdr:col>
      <xdr:colOff>2533650</xdr:colOff>
      <xdr:row>34</xdr:row>
      <xdr:rowOff>19050</xdr:rowOff>
    </xdr:to>
    <xdr:pic>
      <xdr:nvPicPr>
        <xdr:cNvPr id="5" name="Picture 82" descr="03"/>
        <xdr:cNvPicPr preferRelativeResize="1">
          <a:picLocks noChangeAspect="1"/>
        </xdr:cNvPicPr>
      </xdr:nvPicPr>
      <xdr:blipFill>
        <a:blip r:embed="rId5"/>
        <a:stretch>
          <a:fillRect/>
        </a:stretch>
      </xdr:blipFill>
      <xdr:spPr>
        <a:xfrm>
          <a:off x="7400925" y="4305300"/>
          <a:ext cx="132397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pl@lafontaudio.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dimension ref="A1:W115"/>
  <sheetViews>
    <sheetView showGridLines="0" showRowColHeaders="0" tabSelected="1" zoomScalePageLayoutView="0" workbookViewId="0" topLeftCell="A1">
      <selection activeCell="D40" sqref="D40:E40"/>
    </sheetView>
  </sheetViews>
  <sheetFormatPr defaultColWidth="11.421875" defaultRowHeight="12.75"/>
  <cols>
    <col min="2" max="2" width="12.7109375" style="0" customWidth="1"/>
    <col min="3" max="3" width="15.7109375" style="0" customWidth="1"/>
    <col min="5" max="5" width="15.7109375" style="0" customWidth="1"/>
    <col min="6" max="6" width="6.7109375" style="0" customWidth="1"/>
    <col min="7" max="7" width="15.7109375" style="0" customWidth="1"/>
    <col min="12" max="12" width="100.7109375" style="0" customWidth="1"/>
  </cols>
  <sheetData>
    <row r="1" spans="1:12" ht="12.75">
      <c r="A1" s="3"/>
      <c r="B1" s="3"/>
      <c r="C1" s="3"/>
      <c r="D1" s="3"/>
      <c r="E1" s="3"/>
      <c r="F1" s="3"/>
      <c r="G1" s="3"/>
      <c r="H1" s="3"/>
      <c r="I1" s="3"/>
      <c r="J1" s="3"/>
      <c r="K1" s="3"/>
      <c r="L1" s="3"/>
    </row>
    <row r="2" spans="1:12" ht="18" customHeight="1">
      <c r="A2" s="3"/>
      <c r="B2" s="3"/>
      <c r="C2" s="3"/>
      <c r="D2" s="3"/>
      <c r="E2" s="3"/>
      <c r="F2" s="385" t="s">
        <v>518</v>
      </c>
      <c r="G2" s="3"/>
      <c r="H2" s="3"/>
      <c r="I2" s="3"/>
      <c r="J2" s="3"/>
      <c r="K2" s="3"/>
      <c r="L2" s="3"/>
    </row>
    <row r="3" spans="1:12" ht="19.5" customHeight="1">
      <c r="A3" s="3"/>
      <c r="B3" s="3"/>
      <c r="C3" s="3"/>
      <c r="D3" s="3"/>
      <c r="E3" s="3"/>
      <c r="F3" s="4" t="s">
        <v>517</v>
      </c>
      <c r="G3" s="3"/>
      <c r="H3" s="3"/>
      <c r="I3" s="3"/>
      <c r="J3" s="3"/>
      <c r="K3" s="3"/>
      <c r="L3" s="3"/>
    </row>
    <row r="4" spans="1:12" ht="18" customHeight="1">
      <c r="A4" s="3"/>
      <c r="B4" s="3"/>
      <c r="C4" s="3"/>
      <c r="D4" s="3"/>
      <c r="E4" s="3"/>
      <c r="F4" s="4" t="s">
        <v>492</v>
      </c>
      <c r="G4" s="3"/>
      <c r="H4" s="3"/>
      <c r="I4" s="3"/>
      <c r="J4" s="3"/>
      <c r="K4" s="3"/>
      <c r="L4" s="3"/>
    </row>
    <row r="5" spans="1:12" ht="12.75">
      <c r="A5" s="3"/>
      <c r="B5" s="3"/>
      <c r="C5" s="3"/>
      <c r="D5" s="3"/>
      <c r="E5" s="3"/>
      <c r="F5" s="3"/>
      <c r="G5" s="3"/>
      <c r="H5" s="3"/>
      <c r="I5" s="3"/>
      <c r="J5" s="3"/>
      <c r="K5" s="3"/>
      <c r="L5" s="3"/>
    </row>
    <row r="6" spans="1:12" ht="12.75">
      <c r="A6" s="3"/>
      <c r="B6" s="3"/>
      <c r="C6" s="3"/>
      <c r="D6" s="3"/>
      <c r="E6" s="3"/>
      <c r="F6" s="3"/>
      <c r="G6" s="3"/>
      <c r="H6" s="3"/>
      <c r="I6" s="3"/>
      <c r="J6" s="3"/>
      <c r="K6" s="3"/>
      <c r="L6" s="3"/>
    </row>
    <row r="7" spans="1:12" ht="12.75">
      <c r="A7" s="3"/>
      <c r="B7" s="3"/>
      <c r="C7" s="3"/>
      <c r="D7" s="3"/>
      <c r="E7" s="3"/>
      <c r="F7" s="3"/>
      <c r="G7" s="3"/>
      <c r="H7" s="3"/>
      <c r="I7" s="3"/>
      <c r="J7" s="3"/>
      <c r="K7" s="3"/>
      <c r="L7" s="3"/>
    </row>
    <row r="8" spans="1:12" ht="12.75">
      <c r="A8" s="3"/>
      <c r="B8" s="3"/>
      <c r="C8" s="3"/>
      <c r="D8" s="3"/>
      <c r="E8" s="3"/>
      <c r="F8" s="3"/>
      <c r="G8" s="3"/>
      <c r="H8" s="3"/>
      <c r="I8" s="3"/>
      <c r="J8" s="3"/>
      <c r="K8" s="3"/>
      <c r="L8" s="3"/>
    </row>
    <row r="9" spans="1:12" ht="12.75">
      <c r="A9" s="3"/>
      <c r="B9" s="3"/>
      <c r="C9" s="3"/>
      <c r="D9" s="3"/>
      <c r="E9" s="3"/>
      <c r="F9" s="3"/>
      <c r="G9" s="3"/>
      <c r="H9" s="3"/>
      <c r="I9" s="3"/>
      <c r="J9" s="3"/>
      <c r="K9" s="3"/>
      <c r="L9" s="3"/>
    </row>
    <row r="10" spans="1:12" ht="12.75">
      <c r="A10" s="3"/>
      <c r="B10" s="3"/>
      <c r="C10" s="3"/>
      <c r="D10" s="3"/>
      <c r="E10" s="3"/>
      <c r="F10" s="3"/>
      <c r="G10" s="3"/>
      <c r="H10" s="3"/>
      <c r="I10" s="3"/>
      <c r="J10" s="3"/>
      <c r="K10" s="3"/>
      <c r="L10" s="3"/>
    </row>
    <row r="11" spans="1:12" ht="12.75">
      <c r="A11" s="3"/>
      <c r="B11" s="3"/>
      <c r="C11" s="3"/>
      <c r="D11" s="3"/>
      <c r="E11" s="3"/>
      <c r="F11" s="3"/>
      <c r="G11" s="3"/>
      <c r="H11" s="3"/>
      <c r="I11" s="3"/>
      <c r="J11" s="3"/>
      <c r="K11" s="3"/>
      <c r="L11" s="3"/>
    </row>
    <row r="12" spans="1:12" ht="12.75">
      <c r="A12" s="3"/>
      <c r="B12" s="3"/>
      <c r="C12" s="3"/>
      <c r="D12" s="3"/>
      <c r="E12" s="3"/>
      <c r="F12" s="3"/>
      <c r="G12" s="3"/>
      <c r="H12" s="3"/>
      <c r="I12" s="3"/>
      <c r="J12" s="3"/>
      <c r="K12" s="3"/>
      <c r="L12" s="3"/>
    </row>
    <row r="13" spans="1:12" ht="12.75">
      <c r="A13" s="3"/>
      <c r="B13" s="3"/>
      <c r="C13" s="3"/>
      <c r="D13" s="3"/>
      <c r="E13" s="3"/>
      <c r="F13" s="3"/>
      <c r="G13" s="3"/>
      <c r="H13" s="3"/>
      <c r="I13" s="3"/>
      <c r="J13" s="3"/>
      <c r="K13" s="3"/>
      <c r="L13" s="3"/>
    </row>
    <row r="14" spans="1:12" ht="12.75">
      <c r="A14" s="3"/>
      <c r="B14" s="3"/>
      <c r="C14" s="3"/>
      <c r="D14" s="3"/>
      <c r="E14" s="3"/>
      <c r="F14" s="3"/>
      <c r="G14" s="3"/>
      <c r="H14" s="3"/>
      <c r="I14" s="3"/>
      <c r="J14" s="3"/>
      <c r="K14" s="3"/>
      <c r="L14" s="3"/>
    </row>
    <row r="15" spans="1:12" ht="12.75">
      <c r="A15" s="3"/>
      <c r="B15" s="3"/>
      <c r="C15" s="3"/>
      <c r="D15" s="3"/>
      <c r="E15" s="362" t="s">
        <v>276</v>
      </c>
      <c r="F15" s="3"/>
      <c r="G15" s="363" t="s">
        <v>269</v>
      </c>
      <c r="H15" s="3"/>
      <c r="I15" s="3"/>
      <c r="J15" s="3"/>
      <c r="K15" s="3"/>
      <c r="L15" s="3"/>
    </row>
    <row r="16" spans="1:23" ht="12.75">
      <c r="A16" s="3"/>
      <c r="B16" s="3"/>
      <c r="C16" s="3"/>
      <c r="D16" s="3"/>
      <c r="E16" s="3"/>
      <c r="F16" s="3"/>
      <c r="G16" s="3"/>
      <c r="H16" s="3"/>
      <c r="I16" s="3"/>
      <c r="J16" s="3"/>
      <c r="K16" s="3"/>
      <c r="L16" s="3"/>
      <c r="M16" s="1"/>
      <c r="N16" s="1"/>
      <c r="O16" s="1"/>
      <c r="P16" s="1"/>
      <c r="Q16" s="1"/>
      <c r="R16" s="1"/>
      <c r="S16" s="1"/>
      <c r="T16" s="1"/>
      <c r="U16" s="1"/>
      <c r="V16" s="1"/>
      <c r="W16" s="1"/>
    </row>
    <row r="17" spans="1:23" ht="12.75" customHeight="1">
      <c r="A17" s="3"/>
      <c r="B17" s="3"/>
      <c r="C17" s="413" t="s">
        <v>519</v>
      </c>
      <c r="D17" s="413"/>
      <c r="E17" s="413"/>
      <c r="F17" s="413"/>
      <c r="G17" s="413"/>
      <c r="H17" s="413"/>
      <c r="I17" s="413"/>
      <c r="J17" s="413"/>
      <c r="K17" s="375"/>
      <c r="L17" s="375"/>
      <c r="M17" s="375"/>
      <c r="N17" s="375"/>
      <c r="O17" s="375"/>
      <c r="P17" s="375"/>
      <c r="Q17" s="375"/>
      <c r="R17" s="375"/>
      <c r="S17" s="375"/>
      <c r="T17" s="375"/>
      <c r="U17" s="375"/>
      <c r="V17" s="375"/>
      <c r="W17" s="375"/>
    </row>
    <row r="18" spans="1:23" ht="12.75">
      <c r="A18" s="3"/>
      <c r="B18" s="3"/>
      <c r="C18" s="413"/>
      <c r="D18" s="413"/>
      <c r="E18" s="413"/>
      <c r="F18" s="413"/>
      <c r="G18" s="413"/>
      <c r="H18" s="413"/>
      <c r="I18" s="413"/>
      <c r="J18" s="413"/>
      <c r="K18" s="3"/>
      <c r="L18" s="3"/>
      <c r="M18" s="1"/>
      <c r="N18" s="1"/>
      <c r="O18" s="1"/>
      <c r="P18" s="1"/>
      <c r="Q18" s="1"/>
      <c r="R18" s="1"/>
      <c r="S18" s="1"/>
      <c r="T18" s="1"/>
      <c r="U18" s="1"/>
      <c r="V18" s="1"/>
      <c r="W18" s="1"/>
    </row>
    <row r="19" spans="1:23" ht="12.75">
      <c r="A19" s="3"/>
      <c r="B19" s="3"/>
      <c r="C19" s="413"/>
      <c r="D19" s="413"/>
      <c r="E19" s="413"/>
      <c r="F19" s="413"/>
      <c r="G19" s="413"/>
      <c r="H19" s="413"/>
      <c r="I19" s="413"/>
      <c r="J19" s="413"/>
      <c r="K19" s="3"/>
      <c r="L19" s="3"/>
      <c r="M19" s="1"/>
      <c r="N19" s="1"/>
      <c r="O19" s="1"/>
      <c r="P19" s="1"/>
      <c r="Q19" s="1"/>
      <c r="R19" s="1"/>
      <c r="S19" s="1"/>
      <c r="T19" s="1"/>
      <c r="U19" s="1"/>
      <c r="V19" s="1"/>
      <c r="W19" s="1"/>
    </row>
    <row r="20" spans="1:23" ht="15" customHeight="1">
      <c r="A20" s="3"/>
      <c r="B20" s="3"/>
      <c r="C20" s="326"/>
      <c r="D20" s="326"/>
      <c r="E20" s="326"/>
      <c r="F20" s="326"/>
      <c r="G20" s="326"/>
      <c r="H20" s="326"/>
      <c r="I20" s="326"/>
      <c r="J20" s="326"/>
      <c r="K20" s="3"/>
      <c r="L20" s="3"/>
      <c r="M20" s="1"/>
      <c r="N20" s="1"/>
      <c r="O20" s="1"/>
      <c r="P20" s="1"/>
      <c r="Q20" s="1"/>
      <c r="R20" s="1"/>
      <c r="S20" s="1"/>
      <c r="T20" s="1"/>
      <c r="U20" s="1"/>
      <c r="V20" s="1"/>
      <c r="W20" s="1"/>
    </row>
    <row r="21" spans="1:12" ht="19.5" customHeight="1">
      <c r="A21" s="3"/>
      <c r="B21" s="3"/>
      <c r="C21" s="3"/>
      <c r="D21" s="3"/>
      <c r="E21" s="3"/>
      <c r="F21" s="380" t="s">
        <v>499</v>
      </c>
      <c r="G21" s="3"/>
      <c r="H21" s="3"/>
      <c r="I21" s="3"/>
      <c r="J21" s="3"/>
      <c r="K21" s="3"/>
      <c r="L21" s="3"/>
    </row>
    <row r="22" spans="1:23" ht="7.5" customHeight="1">
      <c r="A22" s="3"/>
      <c r="B22" s="3"/>
      <c r="C22" s="364"/>
      <c r="D22" s="364"/>
      <c r="E22" s="364"/>
      <c r="F22" s="364"/>
      <c r="G22" s="364"/>
      <c r="H22" s="364"/>
      <c r="I22" s="364"/>
      <c r="J22" s="364"/>
      <c r="K22" s="364"/>
      <c r="L22" s="364"/>
      <c r="M22" s="364"/>
      <c r="N22" s="364"/>
      <c r="O22" s="364"/>
      <c r="P22" s="364"/>
      <c r="Q22" s="364"/>
      <c r="R22" s="364"/>
      <c r="S22" s="364"/>
      <c r="T22" s="364"/>
      <c r="U22" s="364"/>
      <c r="V22" s="364"/>
      <c r="W22" s="364"/>
    </row>
    <row r="23" spans="1:23" ht="12.75" customHeight="1">
      <c r="A23" s="3"/>
      <c r="B23" s="347" t="s">
        <v>500</v>
      </c>
      <c r="C23" s="413" t="s">
        <v>531</v>
      </c>
      <c r="D23" s="413"/>
      <c r="E23" s="413"/>
      <c r="F23" s="413"/>
      <c r="G23" s="413"/>
      <c r="H23" s="413"/>
      <c r="I23" s="413"/>
      <c r="J23" s="413"/>
      <c r="K23" s="364"/>
      <c r="L23" s="364"/>
      <c r="M23" s="364"/>
      <c r="N23" s="364"/>
      <c r="O23" s="364"/>
      <c r="P23" s="364"/>
      <c r="Q23" s="364"/>
      <c r="R23" s="364"/>
      <c r="S23" s="364"/>
      <c r="T23" s="364"/>
      <c r="U23" s="364"/>
      <c r="V23" s="364"/>
      <c r="W23" s="364"/>
    </row>
    <row r="24" spans="1:23" ht="12.75">
      <c r="A24" s="3"/>
      <c r="B24" s="3"/>
      <c r="C24" s="413"/>
      <c r="D24" s="413"/>
      <c r="E24" s="413"/>
      <c r="F24" s="413"/>
      <c r="G24" s="413"/>
      <c r="H24" s="413"/>
      <c r="I24" s="413"/>
      <c r="J24" s="413"/>
      <c r="K24" s="364"/>
      <c r="L24" s="364"/>
      <c r="M24" s="364"/>
      <c r="N24" s="364"/>
      <c r="O24" s="364"/>
      <c r="P24" s="364"/>
      <c r="Q24" s="364"/>
      <c r="R24" s="364"/>
      <c r="S24" s="364"/>
      <c r="T24" s="364"/>
      <c r="U24" s="364"/>
      <c r="V24" s="364"/>
      <c r="W24" s="364"/>
    </row>
    <row r="25" spans="1:23" ht="12.75">
      <c r="A25" s="3"/>
      <c r="B25" s="3"/>
      <c r="C25" s="413"/>
      <c r="D25" s="413"/>
      <c r="E25" s="413"/>
      <c r="F25" s="413"/>
      <c r="G25" s="413"/>
      <c r="H25" s="413"/>
      <c r="I25" s="413"/>
      <c r="J25" s="413"/>
      <c r="K25" s="364"/>
      <c r="L25" s="364"/>
      <c r="M25" s="364"/>
      <c r="N25" s="364"/>
      <c r="O25" s="364"/>
      <c r="P25" s="364"/>
      <c r="Q25" s="364"/>
      <c r="R25" s="364"/>
      <c r="S25" s="364"/>
      <c r="T25" s="364"/>
      <c r="U25" s="364"/>
      <c r="V25" s="364"/>
      <c r="W25" s="364"/>
    </row>
    <row r="26" spans="1:23" ht="12.75">
      <c r="A26" s="3"/>
      <c r="B26" s="3"/>
      <c r="C26" s="364"/>
      <c r="D26" s="364"/>
      <c r="E26" s="376"/>
      <c r="F26" s="364"/>
      <c r="G26" s="364"/>
      <c r="H26" s="364"/>
      <c r="I26" s="364"/>
      <c r="J26" s="364"/>
      <c r="K26" s="364"/>
      <c r="L26" s="364"/>
      <c r="M26" s="364"/>
      <c r="N26" s="364"/>
      <c r="O26" s="364"/>
      <c r="P26" s="364"/>
      <c r="Q26" s="364"/>
      <c r="R26" s="364"/>
      <c r="S26" s="364"/>
      <c r="T26" s="364"/>
      <c r="U26" s="364"/>
      <c r="V26" s="364"/>
      <c r="W26" s="364"/>
    </row>
    <row r="27" spans="1:23" ht="12.75" customHeight="1">
      <c r="A27" s="3"/>
      <c r="B27" s="347" t="s">
        <v>501</v>
      </c>
      <c r="C27" s="413" t="s">
        <v>503</v>
      </c>
      <c r="D27" s="413"/>
      <c r="E27" s="413"/>
      <c r="F27" s="413"/>
      <c r="G27" s="413"/>
      <c r="H27" s="413"/>
      <c r="I27" s="413"/>
      <c r="J27" s="413"/>
      <c r="K27" s="364"/>
      <c r="L27" s="364"/>
      <c r="M27" s="364"/>
      <c r="N27" s="364"/>
      <c r="O27" s="364"/>
      <c r="P27" s="364"/>
      <c r="Q27" s="364"/>
      <c r="R27" s="364"/>
      <c r="S27" s="364"/>
      <c r="T27" s="364"/>
      <c r="U27" s="364"/>
      <c r="V27" s="364"/>
      <c r="W27" s="364"/>
    </row>
    <row r="28" spans="1:23" ht="12.75">
      <c r="A28" s="3"/>
      <c r="B28" s="3"/>
      <c r="C28" s="413"/>
      <c r="D28" s="413"/>
      <c r="E28" s="413"/>
      <c r="F28" s="413"/>
      <c r="G28" s="413"/>
      <c r="H28" s="413"/>
      <c r="I28" s="413"/>
      <c r="J28" s="413"/>
      <c r="K28" s="364"/>
      <c r="L28" s="364"/>
      <c r="M28" s="364"/>
      <c r="N28" s="364"/>
      <c r="O28" s="364"/>
      <c r="P28" s="364"/>
      <c r="Q28" s="364"/>
      <c r="R28" s="364"/>
      <c r="S28" s="364"/>
      <c r="T28" s="364"/>
      <c r="U28" s="364"/>
      <c r="V28" s="364"/>
      <c r="W28" s="364"/>
    </row>
    <row r="29" spans="1:23" ht="12.75">
      <c r="A29" s="3"/>
      <c r="B29" s="3"/>
      <c r="C29" s="413"/>
      <c r="D29" s="413"/>
      <c r="E29" s="413"/>
      <c r="F29" s="413"/>
      <c r="G29" s="413"/>
      <c r="H29" s="413"/>
      <c r="I29" s="413"/>
      <c r="J29" s="413"/>
      <c r="K29" s="364"/>
      <c r="L29" s="364"/>
      <c r="M29" s="364"/>
      <c r="N29" s="364"/>
      <c r="O29" s="364"/>
      <c r="P29" s="364"/>
      <c r="Q29" s="364"/>
      <c r="R29" s="364"/>
      <c r="S29" s="364"/>
      <c r="T29" s="364"/>
      <c r="U29" s="364"/>
      <c r="V29" s="364"/>
      <c r="W29" s="364"/>
    </row>
    <row r="30" spans="1:23" ht="12.75">
      <c r="A30" s="3"/>
      <c r="B30" s="3"/>
      <c r="C30" s="375"/>
      <c r="D30" s="375"/>
      <c r="E30" s="375"/>
      <c r="F30" s="375"/>
      <c r="G30" s="375"/>
      <c r="H30" s="375"/>
      <c r="I30" s="375"/>
      <c r="J30" s="375"/>
      <c r="K30" s="364"/>
      <c r="L30" s="364"/>
      <c r="M30" s="364"/>
      <c r="N30" s="364"/>
      <c r="O30" s="364"/>
      <c r="P30" s="364"/>
      <c r="Q30" s="364"/>
      <c r="R30" s="364"/>
      <c r="S30" s="364"/>
      <c r="T30" s="364"/>
      <c r="U30" s="364"/>
      <c r="V30" s="364"/>
      <c r="W30" s="364"/>
    </row>
    <row r="31" spans="1:23" ht="12.75" customHeight="1">
      <c r="A31" s="3"/>
      <c r="B31" s="347" t="s">
        <v>502</v>
      </c>
      <c r="C31" s="413" t="s">
        <v>530</v>
      </c>
      <c r="D31" s="413"/>
      <c r="E31" s="413"/>
      <c r="F31" s="413"/>
      <c r="G31" s="413"/>
      <c r="H31" s="413"/>
      <c r="I31" s="413"/>
      <c r="J31" s="413"/>
      <c r="K31" s="364"/>
      <c r="L31" s="364"/>
      <c r="M31" s="364"/>
      <c r="N31" s="364"/>
      <c r="O31" s="364"/>
      <c r="P31" s="364"/>
      <c r="Q31" s="364"/>
      <c r="R31" s="364"/>
      <c r="S31" s="364"/>
      <c r="T31" s="364"/>
      <c r="U31" s="364"/>
      <c r="V31" s="364"/>
      <c r="W31" s="364"/>
    </row>
    <row r="32" spans="1:23" ht="12.75" customHeight="1">
      <c r="A32" s="3"/>
      <c r="B32" s="3"/>
      <c r="C32" s="413" t="s">
        <v>505</v>
      </c>
      <c r="D32" s="413"/>
      <c r="E32" s="413"/>
      <c r="F32" s="413"/>
      <c r="G32" s="413"/>
      <c r="H32" s="413"/>
      <c r="I32" s="413"/>
      <c r="J32" s="391" t="s">
        <v>504</v>
      </c>
      <c r="K32" s="364"/>
      <c r="L32" s="364"/>
      <c r="M32" s="364"/>
      <c r="N32" s="364"/>
      <c r="O32" s="364"/>
      <c r="P32" s="364"/>
      <c r="Q32" s="364"/>
      <c r="R32" s="364"/>
      <c r="S32" s="364"/>
      <c r="T32" s="364"/>
      <c r="U32" s="364"/>
      <c r="V32" s="364"/>
      <c r="W32" s="364"/>
    </row>
    <row r="33" spans="1:23" ht="12.75" customHeight="1">
      <c r="A33" s="3"/>
      <c r="B33" s="3"/>
      <c r="C33" s="413" t="s">
        <v>506</v>
      </c>
      <c r="D33" s="413"/>
      <c r="E33" s="413"/>
      <c r="F33" s="413"/>
      <c r="G33" s="413"/>
      <c r="H33" s="413"/>
      <c r="I33" s="413"/>
      <c r="J33" s="413"/>
      <c r="K33" s="364"/>
      <c r="L33" s="364"/>
      <c r="M33" s="364"/>
      <c r="N33" s="364"/>
      <c r="O33" s="364"/>
      <c r="P33" s="364"/>
      <c r="Q33" s="364"/>
      <c r="R33" s="364"/>
      <c r="S33" s="364"/>
      <c r="T33" s="364"/>
      <c r="U33" s="364"/>
      <c r="V33" s="364"/>
      <c r="W33" s="364"/>
    </row>
    <row r="34" spans="1:23" ht="12.75">
      <c r="A34" s="3"/>
      <c r="B34" s="3"/>
      <c r="C34" s="413"/>
      <c r="D34" s="413"/>
      <c r="E34" s="413"/>
      <c r="F34" s="413"/>
      <c r="G34" s="413"/>
      <c r="H34" s="413"/>
      <c r="I34" s="413"/>
      <c r="J34" s="413"/>
      <c r="K34" s="364"/>
      <c r="L34" s="364"/>
      <c r="M34" s="364"/>
      <c r="N34" s="364"/>
      <c r="O34" s="364"/>
      <c r="P34" s="364"/>
      <c r="Q34" s="364"/>
      <c r="R34" s="364"/>
      <c r="S34" s="364"/>
      <c r="T34" s="364"/>
      <c r="U34" s="364"/>
      <c r="V34" s="364"/>
      <c r="W34" s="364"/>
    </row>
    <row r="35" spans="1:23" ht="19.5" customHeight="1">
      <c r="A35" s="3"/>
      <c r="B35" s="3"/>
      <c r="C35" s="364"/>
      <c r="D35" s="364"/>
      <c r="E35" s="416"/>
      <c r="F35" s="416"/>
      <c r="G35" s="416"/>
      <c r="H35" s="416"/>
      <c r="I35" s="364"/>
      <c r="J35" s="364"/>
      <c r="K35" s="364"/>
      <c r="L35" s="364"/>
      <c r="M35" s="364"/>
      <c r="N35" s="364"/>
      <c r="O35" s="364"/>
      <c r="P35" s="364"/>
      <c r="Q35" s="364"/>
      <c r="R35" s="364"/>
      <c r="S35" s="364"/>
      <c r="T35" s="364"/>
      <c r="U35" s="364"/>
      <c r="V35" s="364"/>
      <c r="W35" s="364"/>
    </row>
    <row r="36" spans="1:12" ht="12.75">
      <c r="A36" s="3"/>
      <c r="B36" s="3"/>
      <c r="C36" s="3"/>
      <c r="D36" s="3"/>
      <c r="E36" s="3"/>
      <c r="F36" s="3"/>
      <c r="G36" s="3"/>
      <c r="H36" s="3"/>
      <c r="I36" s="3"/>
      <c r="J36" s="3"/>
      <c r="K36" s="3"/>
      <c r="L36" s="3"/>
    </row>
    <row r="37" spans="1:12" ht="12.75">
      <c r="A37" s="3"/>
      <c r="B37" s="3"/>
      <c r="C37" s="3"/>
      <c r="D37" s="3"/>
      <c r="E37" s="3"/>
      <c r="F37" s="3"/>
      <c r="G37" s="3"/>
      <c r="H37" s="3"/>
      <c r="I37" s="3"/>
      <c r="J37" s="3"/>
      <c r="K37" s="3"/>
      <c r="L37" s="3"/>
    </row>
    <row r="38" spans="1:12" ht="15">
      <c r="A38" s="3"/>
      <c r="B38" s="3"/>
      <c r="C38" s="381" t="s">
        <v>498</v>
      </c>
      <c r="D38" s="3"/>
      <c r="E38" s="3"/>
      <c r="F38" s="3"/>
      <c r="G38" s="3"/>
      <c r="H38" s="3"/>
      <c r="I38" s="3"/>
      <c r="J38" s="3"/>
      <c r="K38" s="3"/>
      <c r="L38" s="3"/>
    </row>
    <row r="39" spans="1:12" ht="14.25">
      <c r="A39" s="3"/>
      <c r="B39" s="3"/>
      <c r="C39" s="382"/>
      <c r="D39" s="3"/>
      <c r="E39" s="3"/>
      <c r="F39" s="3"/>
      <c r="G39" s="3"/>
      <c r="H39" s="3"/>
      <c r="I39" s="3"/>
      <c r="J39" s="3"/>
      <c r="K39" s="3"/>
      <c r="L39" s="3"/>
    </row>
    <row r="40" spans="1:12" ht="12.75">
      <c r="A40" s="3"/>
      <c r="B40" s="3"/>
      <c r="C40" s="17" t="s">
        <v>493</v>
      </c>
      <c r="D40" s="414"/>
      <c r="E40" s="415"/>
      <c r="F40" s="3"/>
      <c r="G40" s="3"/>
      <c r="H40" s="3"/>
      <c r="I40" s="3"/>
      <c r="J40" s="3"/>
      <c r="K40" s="3"/>
      <c r="L40" s="3"/>
    </row>
    <row r="41" spans="1:12" ht="9.75" customHeight="1">
      <c r="A41" s="3"/>
      <c r="B41" s="3"/>
      <c r="C41" s="17"/>
      <c r="D41" s="3"/>
      <c r="E41" s="3"/>
      <c r="F41" s="3"/>
      <c r="G41" s="3"/>
      <c r="H41" s="3"/>
      <c r="I41" s="3"/>
      <c r="J41" s="3"/>
      <c r="K41" s="3"/>
      <c r="L41" s="3"/>
    </row>
    <row r="42" spans="1:12" ht="12.75">
      <c r="A42" s="3"/>
      <c r="B42" s="3"/>
      <c r="C42" s="17" t="s">
        <v>489</v>
      </c>
      <c r="D42" s="414"/>
      <c r="E42" s="415"/>
      <c r="F42" s="3"/>
      <c r="G42" s="3"/>
      <c r="H42" s="3"/>
      <c r="I42" s="3"/>
      <c r="J42" s="3"/>
      <c r="K42" s="3"/>
      <c r="L42" s="3"/>
    </row>
    <row r="43" spans="1:12" ht="9.75" customHeight="1">
      <c r="A43" s="3"/>
      <c r="B43" s="3"/>
      <c r="C43" s="17"/>
      <c r="D43" s="3"/>
      <c r="E43" s="3"/>
      <c r="F43" s="3"/>
      <c r="G43" s="3"/>
      <c r="H43" s="3"/>
      <c r="I43" s="3"/>
      <c r="J43" s="3"/>
      <c r="K43" s="3"/>
      <c r="L43" s="3"/>
    </row>
    <row r="44" spans="1:12" ht="12.75">
      <c r="A44" s="3"/>
      <c r="B44" s="3"/>
      <c r="C44" s="17" t="s">
        <v>494</v>
      </c>
      <c r="D44" s="414"/>
      <c r="E44" s="415"/>
      <c r="F44" s="3"/>
      <c r="G44" s="3"/>
      <c r="H44" s="3"/>
      <c r="I44" s="3"/>
      <c r="J44" s="3"/>
      <c r="K44" s="3"/>
      <c r="L44" s="3"/>
    </row>
    <row r="45" spans="1:12" ht="9.75" customHeight="1">
      <c r="A45" s="3"/>
      <c r="B45" s="3"/>
      <c r="C45" s="17"/>
      <c r="D45" s="3"/>
      <c r="E45" s="3"/>
      <c r="F45" s="3"/>
      <c r="G45" s="3"/>
      <c r="H45" s="3"/>
      <c r="I45" s="3"/>
      <c r="J45" s="3"/>
      <c r="K45" s="3"/>
      <c r="L45" s="3"/>
    </row>
    <row r="46" spans="1:12" ht="12.75">
      <c r="A46" s="3"/>
      <c r="B46" s="3"/>
      <c r="C46" s="17" t="s">
        <v>490</v>
      </c>
      <c r="D46" s="414"/>
      <c r="E46" s="415"/>
      <c r="F46" s="3"/>
      <c r="G46" s="3"/>
      <c r="H46" s="3"/>
      <c r="I46" s="3"/>
      <c r="J46" s="3"/>
      <c r="K46" s="3"/>
      <c r="L46" s="3"/>
    </row>
    <row r="47" spans="1:12" ht="9.75" customHeight="1">
      <c r="A47" s="3"/>
      <c r="B47" s="3"/>
      <c r="C47" s="17"/>
      <c r="D47" s="3"/>
      <c r="E47" s="3"/>
      <c r="F47" s="3"/>
      <c r="G47" s="3"/>
      <c r="H47" s="3"/>
      <c r="I47" s="3"/>
      <c r="J47" s="3"/>
      <c r="K47" s="3"/>
      <c r="L47" s="3"/>
    </row>
    <row r="48" spans="1:12" ht="12.75">
      <c r="A48" s="3"/>
      <c r="B48" s="3"/>
      <c r="C48" s="17" t="s">
        <v>512</v>
      </c>
      <c r="D48" s="414"/>
      <c r="E48" s="415"/>
      <c r="F48" s="3"/>
      <c r="G48" s="3"/>
      <c r="H48" s="3"/>
      <c r="I48" s="3"/>
      <c r="J48" s="3"/>
      <c r="K48" s="3"/>
      <c r="L48" s="3"/>
    </row>
    <row r="49" spans="1:12" ht="9.75" customHeight="1">
      <c r="A49" s="3"/>
      <c r="B49" s="3"/>
      <c r="C49" s="17"/>
      <c r="D49" s="383"/>
      <c r="E49" s="383"/>
      <c r="F49" s="3"/>
      <c r="G49" s="3"/>
      <c r="H49" s="3"/>
      <c r="I49" s="3"/>
      <c r="J49" s="3"/>
      <c r="K49" s="3"/>
      <c r="L49" s="3"/>
    </row>
    <row r="50" spans="1:12" ht="12.75">
      <c r="A50" s="3"/>
      <c r="B50" s="3"/>
      <c r="C50" s="17" t="s">
        <v>495</v>
      </c>
      <c r="D50" s="414"/>
      <c r="E50" s="415"/>
      <c r="F50" s="3"/>
      <c r="G50" s="3"/>
      <c r="H50" s="3"/>
      <c r="I50" s="3"/>
      <c r="J50" s="3"/>
      <c r="K50" s="3"/>
      <c r="L50" s="3"/>
    </row>
    <row r="51" spans="1:12" ht="9.75" customHeight="1">
      <c r="A51" s="3"/>
      <c r="B51" s="3"/>
      <c r="C51" s="17"/>
      <c r="D51" s="3"/>
      <c r="E51" s="3"/>
      <c r="F51" s="3"/>
      <c r="G51" s="3"/>
      <c r="H51" s="3"/>
      <c r="I51" s="3"/>
      <c r="J51" s="3"/>
      <c r="K51" s="3"/>
      <c r="L51" s="3"/>
    </row>
    <row r="52" spans="1:12" ht="12.75">
      <c r="A52" s="3"/>
      <c r="B52" s="3"/>
      <c r="C52" s="17" t="s">
        <v>496</v>
      </c>
      <c r="D52" s="414"/>
      <c r="E52" s="415"/>
      <c r="F52" s="3"/>
      <c r="G52" s="3"/>
      <c r="H52" s="3"/>
      <c r="I52" s="3"/>
      <c r="J52" s="3"/>
      <c r="K52" s="3"/>
      <c r="L52" s="3"/>
    </row>
    <row r="53" spans="1:12" ht="9.75" customHeight="1">
      <c r="A53" s="3"/>
      <c r="B53" s="3"/>
      <c r="C53" s="17"/>
      <c r="D53" s="3"/>
      <c r="E53" s="3"/>
      <c r="F53" s="3"/>
      <c r="G53" s="3"/>
      <c r="H53" s="3"/>
      <c r="I53" s="3"/>
      <c r="J53" s="3"/>
      <c r="K53" s="3"/>
      <c r="L53" s="3"/>
    </row>
    <row r="54" spans="1:12" ht="12.75">
      <c r="A54" s="3"/>
      <c r="B54" s="3"/>
      <c r="C54" s="17" t="s">
        <v>491</v>
      </c>
      <c r="D54" s="414"/>
      <c r="E54" s="415"/>
      <c r="F54" s="3"/>
      <c r="G54" s="3"/>
      <c r="H54" s="3"/>
      <c r="I54" s="3"/>
      <c r="J54" s="3"/>
      <c r="K54" s="3"/>
      <c r="L54" s="3"/>
    </row>
    <row r="55" spans="1:12" ht="9.75" customHeight="1">
      <c r="A55" s="3"/>
      <c r="B55" s="3"/>
      <c r="C55" s="17"/>
      <c r="D55" s="3"/>
      <c r="E55" s="3"/>
      <c r="F55" s="3"/>
      <c r="G55" s="3"/>
      <c r="H55" s="3"/>
      <c r="I55" s="3"/>
      <c r="J55" s="3"/>
      <c r="K55" s="3"/>
      <c r="L55" s="3"/>
    </row>
    <row r="56" spans="1:12" ht="12.75">
      <c r="A56" s="3"/>
      <c r="B56" s="3"/>
      <c r="C56" s="17" t="s">
        <v>497</v>
      </c>
      <c r="D56" s="417" t="s">
        <v>564</v>
      </c>
      <c r="E56" s="418"/>
      <c r="F56" s="3"/>
      <c r="G56" s="3"/>
      <c r="H56" s="3"/>
      <c r="I56" s="3"/>
      <c r="J56" s="3"/>
      <c r="K56" s="3"/>
      <c r="L56" s="3"/>
    </row>
    <row r="57" spans="1:12" ht="12.75">
      <c r="A57" s="3"/>
      <c r="B57" s="3"/>
      <c r="C57" s="3"/>
      <c r="D57" s="3"/>
      <c r="E57" s="3"/>
      <c r="F57" s="3"/>
      <c r="G57" s="3"/>
      <c r="H57" s="3"/>
      <c r="I57" s="3"/>
      <c r="J57" s="3"/>
      <c r="K57" s="3"/>
      <c r="L57" s="3"/>
    </row>
    <row r="58" spans="1:12" ht="12.75">
      <c r="A58" s="3"/>
      <c r="B58" s="384" t="s">
        <v>508</v>
      </c>
      <c r="C58" s="363" t="s">
        <v>511</v>
      </c>
      <c r="D58" s="3"/>
      <c r="E58" s="3"/>
      <c r="F58" s="3"/>
      <c r="G58" s="3"/>
      <c r="H58" s="3"/>
      <c r="I58" s="3"/>
      <c r="J58" s="3"/>
      <c r="K58" s="3"/>
      <c r="L58" s="3"/>
    </row>
    <row r="59" spans="1:12" ht="12.75">
      <c r="A59" s="3"/>
      <c r="B59" s="17"/>
      <c r="C59" s="363" t="s">
        <v>507</v>
      </c>
      <c r="D59" s="3"/>
      <c r="E59" s="3"/>
      <c r="F59" s="3"/>
      <c r="G59" s="3"/>
      <c r="H59" s="3"/>
      <c r="I59" s="3"/>
      <c r="J59" s="3"/>
      <c r="K59" s="3"/>
      <c r="L59" s="3"/>
    </row>
    <row r="60" spans="1:12" ht="12.75">
      <c r="A60" s="3"/>
      <c r="B60" s="3"/>
      <c r="C60" s="3"/>
      <c r="D60" s="3"/>
      <c r="E60" s="3"/>
      <c r="F60" s="3"/>
      <c r="G60" s="3"/>
      <c r="H60" s="3"/>
      <c r="I60" s="3"/>
      <c r="J60" s="3"/>
      <c r="K60" s="3"/>
      <c r="L60" s="3"/>
    </row>
    <row r="61" spans="1:12" ht="12.75">
      <c r="A61" s="3"/>
      <c r="B61" s="3"/>
      <c r="C61" s="3"/>
      <c r="D61" s="3"/>
      <c r="E61" s="3"/>
      <c r="F61" s="3"/>
      <c r="G61" s="3"/>
      <c r="H61" s="3"/>
      <c r="I61" s="3"/>
      <c r="J61" s="3"/>
      <c r="K61" s="3"/>
      <c r="L61" s="3"/>
    </row>
    <row r="62" spans="1:12" ht="12.75">
      <c r="A62" s="3"/>
      <c r="B62" s="3"/>
      <c r="C62" s="3"/>
      <c r="D62" s="3"/>
      <c r="E62" s="3"/>
      <c r="F62" s="3"/>
      <c r="G62" s="3"/>
      <c r="H62" s="3"/>
      <c r="I62" s="3"/>
      <c r="J62" s="3"/>
      <c r="K62" s="3"/>
      <c r="L62" s="3"/>
    </row>
    <row r="63" spans="1:12" ht="12.75">
      <c r="A63" s="3"/>
      <c r="B63" s="3"/>
      <c r="C63" s="3"/>
      <c r="D63" s="3"/>
      <c r="E63" s="3"/>
      <c r="F63" s="3"/>
      <c r="G63" s="3"/>
      <c r="H63" s="3"/>
      <c r="I63" s="3"/>
      <c r="J63" s="3"/>
      <c r="K63" s="3"/>
      <c r="L63" s="3"/>
    </row>
    <row r="64" spans="1:12" ht="12.75">
      <c r="A64" s="3"/>
      <c r="B64" s="3"/>
      <c r="C64" s="3"/>
      <c r="D64" s="3"/>
      <c r="E64" s="3"/>
      <c r="F64" s="3"/>
      <c r="G64" s="3"/>
      <c r="H64" s="3"/>
      <c r="I64" s="3"/>
      <c r="J64" s="3"/>
      <c r="K64" s="3"/>
      <c r="L64" s="3"/>
    </row>
    <row r="65" spans="1:12" ht="12.75">
      <c r="A65" s="3"/>
      <c r="B65" s="3"/>
      <c r="C65" s="3"/>
      <c r="D65" s="3"/>
      <c r="E65" s="3"/>
      <c r="F65" s="3"/>
      <c r="G65" s="3"/>
      <c r="H65" s="3"/>
      <c r="I65" s="3"/>
      <c r="J65" s="3"/>
      <c r="K65" s="3"/>
      <c r="L65" s="3"/>
    </row>
    <row r="66" spans="1:12" ht="12.75">
      <c r="A66" s="3"/>
      <c r="B66" s="3"/>
      <c r="C66" s="3"/>
      <c r="D66" s="3"/>
      <c r="E66" s="3"/>
      <c r="F66" s="3"/>
      <c r="G66" s="3"/>
      <c r="H66" s="3"/>
      <c r="I66" s="3"/>
      <c r="J66" s="3"/>
      <c r="K66" s="3"/>
      <c r="L66" s="3"/>
    </row>
    <row r="67" spans="1:12" ht="12.75">
      <c r="A67" s="3"/>
      <c r="B67" s="3"/>
      <c r="C67" s="3"/>
      <c r="D67" s="3"/>
      <c r="E67" s="3"/>
      <c r="F67" s="3"/>
      <c r="G67" s="3"/>
      <c r="H67" s="3"/>
      <c r="I67" s="3"/>
      <c r="J67" s="3"/>
      <c r="K67" s="3"/>
      <c r="L67" s="3"/>
    </row>
    <row r="68" spans="1:12" ht="12.75">
      <c r="A68" s="3"/>
      <c r="B68" s="3"/>
      <c r="C68" s="3"/>
      <c r="D68" s="3"/>
      <c r="E68" s="3"/>
      <c r="F68" s="3"/>
      <c r="G68" s="3"/>
      <c r="H68" s="3"/>
      <c r="I68" s="3"/>
      <c r="J68" s="3"/>
      <c r="K68" s="3"/>
      <c r="L68" s="3"/>
    </row>
    <row r="69" spans="1:12" ht="12.75">
      <c r="A69" s="3"/>
      <c r="B69" s="3"/>
      <c r="C69" s="3"/>
      <c r="D69" s="3"/>
      <c r="E69" s="3"/>
      <c r="F69" s="3"/>
      <c r="G69" s="3"/>
      <c r="H69" s="3"/>
      <c r="I69" s="3"/>
      <c r="J69" s="3"/>
      <c r="K69" s="3"/>
      <c r="L69" s="3"/>
    </row>
    <row r="70" spans="1:12" ht="12.75">
      <c r="A70" s="3"/>
      <c r="B70" s="3"/>
      <c r="C70" s="3"/>
      <c r="D70" s="3"/>
      <c r="E70" s="3"/>
      <c r="F70" s="3"/>
      <c r="G70" s="3"/>
      <c r="H70" s="3"/>
      <c r="I70" s="3"/>
      <c r="J70" s="3"/>
      <c r="K70" s="3"/>
      <c r="L70" s="3"/>
    </row>
    <row r="71" spans="1:12" ht="12.75">
      <c r="A71" s="1"/>
      <c r="B71" s="1"/>
      <c r="C71" s="1"/>
      <c r="D71" s="1"/>
      <c r="E71" s="1"/>
      <c r="F71" s="1"/>
      <c r="G71" s="1"/>
      <c r="H71" s="1"/>
      <c r="I71" s="1"/>
      <c r="J71" s="1"/>
      <c r="K71" s="1"/>
      <c r="L71" s="1"/>
    </row>
    <row r="72" spans="1:12" ht="12.75">
      <c r="A72" s="1"/>
      <c r="B72" s="1"/>
      <c r="C72" s="1"/>
      <c r="D72" s="1"/>
      <c r="E72" s="1"/>
      <c r="F72" s="1"/>
      <c r="G72" s="1"/>
      <c r="H72" s="1"/>
      <c r="I72" s="1"/>
      <c r="J72" s="1"/>
      <c r="K72" s="1"/>
      <c r="L72" s="1"/>
    </row>
    <row r="73" spans="1:12" ht="12.75">
      <c r="A73" s="1"/>
      <c r="B73" s="1"/>
      <c r="C73" s="1"/>
      <c r="D73" s="1"/>
      <c r="E73" s="1"/>
      <c r="F73" s="1"/>
      <c r="G73" s="1"/>
      <c r="H73" s="1"/>
      <c r="I73" s="1"/>
      <c r="J73" s="1"/>
      <c r="K73" s="1"/>
      <c r="L73" s="1"/>
    </row>
    <row r="74" spans="1:12" ht="12.75">
      <c r="A74" s="1"/>
      <c r="B74" s="1"/>
      <c r="C74" s="1"/>
      <c r="D74" s="1"/>
      <c r="E74" s="1"/>
      <c r="F74" s="1"/>
      <c r="G74" s="1"/>
      <c r="H74" s="1"/>
      <c r="I74" s="1"/>
      <c r="J74" s="1"/>
      <c r="K74" s="1"/>
      <c r="L74" s="1"/>
    </row>
    <row r="75" spans="1:12" ht="12.75">
      <c r="A75" s="1"/>
      <c r="B75" s="1"/>
      <c r="C75" s="1"/>
      <c r="D75" s="1"/>
      <c r="E75" s="1"/>
      <c r="F75" s="1"/>
      <c r="G75" s="1"/>
      <c r="H75" s="1"/>
      <c r="I75" s="1"/>
      <c r="J75" s="1"/>
      <c r="K75" s="1"/>
      <c r="L75" s="1"/>
    </row>
    <row r="76" spans="1:12" ht="12.75">
      <c r="A76" s="1"/>
      <c r="B76" s="1"/>
      <c r="C76" s="1"/>
      <c r="D76" s="1"/>
      <c r="E76" s="1"/>
      <c r="F76" s="1"/>
      <c r="G76" s="1"/>
      <c r="H76" s="1"/>
      <c r="I76" s="1"/>
      <c r="J76" s="1"/>
      <c r="K76" s="1"/>
      <c r="L76" s="1"/>
    </row>
    <row r="77" spans="1:12" ht="12.75">
      <c r="A77" s="1"/>
      <c r="B77" s="1"/>
      <c r="C77" s="1"/>
      <c r="D77" s="1"/>
      <c r="E77" s="1"/>
      <c r="F77" s="1"/>
      <c r="G77" s="1"/>
      <c r="H77" s="1"/>
      <c r="I77" s="1"/>
      <c r="J77" s="1"/>
      <c r="K77" s="1"/>
      <c r="L77" s="1"/>
    </row>
    <row r="78" spans="1:12" ht="12.75">
      <c r="A78" s="1"/>
      <c r="B78" s="1"/>
      <c r="C78" s="1"/>
      <c r="D78" s="1"/>
      <c r="E78" s="1"/>
      <c r="F78" s="1"/>
      <c r="G78" s="1"/>
      <c r="H78" s="1"/>
      <c r="I78" s="1"/>
      <c r="J78" s="1"/>
      <c r="K78" s="1"/>
      <c r="L78" s="1"/>
    </row>
    <row r="79" spans="1:12" ht="12.75">
      <c r="A79" s="1"/>
      <c r="B79" s="1"/>
      <c r="C79" s="1"/>
      <c r="D79" s="1"/>
      <c r="E79" s="1"/>
      <c r="F79" s="1"/>
      <c r="G79" s="1"/>
      <c r="H79" s="1"/>
      <c r="I79" s="1"/>
      <c r="J79" s="1"/>
      <c r="K79" s="1"/>
      <c r="L79" s="1"/>
    </row>
    <row r="80" spans="1:12" ht="12.75">
      <c r="A80" s="1"/>
      <c r="B80" s="1"/>
      <c r="C80" s="1"/>
      <c r="D80" s="1"/>
      <c r="E80" s="1"/>
      <c r="F80" s="1"/>
      <c r="G80" s="1"/>
      <c r="H80" s="1"/>
      <c r="I80" s="1"/>
      <c r="J80" s="1"/>
      <c r="K80" s="1"/>
      <c r="L80" s="1"/>
    </row>
    <row r="81" spans="1:12" ht="12.75">
      <c r="A81" s="1"/>
      <c r="B81" s="1"/>
      <c r="C81" s="1"/>
      <c r="D81" s="1"/>
      <c r="E81" s="1"/>
      <c r="F81" s="1"/>
      <c r="G81" s="1"/>
      <c r="H81" s="1"/>
      <c r="I81" s="1"/>
      <c r="J81" s="1"/>
      <c r="K81" s="1"/>
      <c r="L81" s="1"/>
    </row>
    <row r="82" spans="1:12" ht="12.75">
      <c r="A82" s="1"/>
      <c r="B82" s="1"/>
      <c r="C82" s="1"/>
      <c r="D82" s="1"/>
      <c r="E82" s="1"/>
      <c r="F82" s="1"/>
      <c r="G82" s="1"/>
      <c r="H82" s="1"/>
      <c r="I82" s="1"/>
      <c r="J82" s="1"/>
      <c r="K82" s="1"/>
      <c r="L82" s="1"/>
    </row>
    <row r="83" spans="1:12" ht="12.75">
      <c r="A83" s="1"/>
      <c r="B83" s="1"/>
      <c r="C83" s="1"/>
      <c r="D83" s="1"/>
      <c r="E83" s="1"/>
      <c r="F83" s="1"/>
      <c r="G83" s="1"/>
      <c r="H83" s="1"/>
      <c r="I83" s="1"/>
      <c r="J83" s="1"/>
      <c r="K83" s="1"/>
      <c r="L83" s="1"/>
    </row>
    <row r="84" spans="1:12" ht="12.75">
      <c r="A84" s="1"/>
      <c r="B84" s="1"/>
      <c r="C84" s="1"/>
      <c r="D84" s="1"/>
      <c r="E84" s="1"/>
      <c r="F84" s="1"/>
      <c r="G84" s="1"/>
      <c r="H84" s="1"/>
      <c r="I84" s="1"/>
      <c r="J84" s="1"/>
      <c r="K84" s="1"/>
      <c r="L84" s="1"/>
    </row>
    <row r="85" spans="1:12" ht="12.75">
      <c r="A85" s="1"/>
      <c r="B85" s="1"/>
      <c r="C85" s="1"/>
      <c r="D85" s="1"/>
      <c r="E85" s="1"/>
      <c r="F85" s="1"/>
      <c r="G85" s="1"/>
      <c r="H85" s="1"/>
      <c r="I85" s="1"/>
      <c r="J85" s="1"/>
      <c r="K85" s="1"/>
      <c r="L85" s="1"/>
    </row>
    <row r="86" spans="1:12" ht="12.75">
      <c r="A86" s="1"/>
      <c r="B86" s="1"/>
      <c r="C86" s="1"/>
      <c r="D86" s="1"/>
      <c r="E86" s="1"/>
      <c r="F86" s="1"/>
      <c r="G86" s="1"/>
      <c r="H86" s="1"/>
      <c r="I86" s="1"/>
      <c r="J86" s="1"/>
      <c r="K86" s="1"/>
      <c r="L86" s="1"/>
    </row>
    <row r="87" spans="1:12" ht="12.75">
      <c r="A87" s="1"/>
      <c r="B87" s="1"/>
      <c r="C87" s="1"/>
      <c r="D87" s="1"/>
      <c r="E87" s="1"/>
      <c r="F87" s="1"/>
      <c r="G87" s="1"/>
      <c r="H87" s="1"/>
      <c r="I87" s="1"/>
      <c r="J87" s="1"/>
      <c r="K87" s="1"/>
      <c r="L87" s="1"/>
    </row>
    <row r="88" spans="1:12" ht="12.75">
      <c r="A88" s="1"/>
      <c r="B88" s="1"/>
      <c r="C88" s="1"/>
      <c r="D88" s="1"/>
      <c r="E88" s="1"/>
      <c r="F88" s="1"/>
      <c r="G88" s="1"/>
      <c r="H88" s="1"/>
      <c r="I88" s="1"/>
      <c r="J88" s="1"/>
      <c r="K88" s="1"/>
      <c r="L88" s="1"/>
    </row>
    <row r="89" spans="1:12" ht="12.75">
      <c r="A89" s="1"/>
      <c r="B89" s="1"/>
      <c r="C89" s="1"/>
      <c r="D89" s="1"/>
      <c r="E89" s="1"/>
      <c r="F89" s="1"/>
      <c r="G89" s="1"/>
      <c r="H89" s="1"/>
      <c r="I89" s="1"/>
      <c r="J89" s="1"/>
      <c r="K89" s="1"/>
      <c r="L89" s="1"/>
    </row>
    <row r="90" spans="1:12" ht="12.75">
      <c r="A90" s="1"/>
      <c r="B90" s="1"/>
      <c r="C90" s="1"/>
      <c r="D90" s="1"/>
      <c r="E90" s="1"/>
      <c r="F90" s="1"/>
      <c r="G90" s="1"/>
      <c r="H90" s="1"/>
      <c r="I90" s="1"/>
      <c r="J90" s="1"/>
      <c r="K90" s="1"/>
      <c r="L90" s="1"/>
    </row>
    <row r="91" spans="1:12" ht="12.75">
      <c r="A91" s="1"/>
      <c r="B91" s="1"/>
      <c r="C91" s="1"/>
      <c r="D91" s="1"/>
      <c r="E91" s="1"/>
      <c r="F91" s="1"/>
      <c r="G91" s="1"/>
      <c r="H91" s="1"/>
      <c r="I91" s="1"/>
      <c r="J91" s="1"/>
      <c r="K91" s="1"/>
      <c r="L91" s="1"/>
    </row>
    <row r="92" spans="1:12" ht="12.75">
      <c r="A92" s="1"/>
      <c r="B92" s="1"/>
      <c r="C92" s="1"/>
      <c r="D92" s="1"/>
      <c r="E92" s="1"/>
      <c r="F92" s="1"/>
      <c r="G92" s="1"/>
      <c r="H92" s="1"/>
      <c r="I92" s="1"/>
      <c r="J92" s="1"/>
      <c r="K92" s="1"/>
      <c r="L92" s="1"/>
    </row>
    <row r="93" spans="1:12" ht="12.75">
      <c r="A93" s="1"/>
      <c r="B93" s="1"/>
      <c r="C93" s="1"/>
      <c r="D93" s="1"/>
      <c r="E93" s="1"/>
      <c r="F93" s="1"/>
      <c r="G93" s="1"/>
      <c r="H93" s="1"/>
      <c r="I93" s="1"/>
      <c r="J93" s="1"/>
      <c r="K93" s="1"/>
      <c r="L93" s="1"/>
    </row>
    <row r="94" spans="1:12" ht="12.75">
      <c r="A94" s="1"/>
      <c r="B94" s="1"/>
      <c r="C94" s="1"/>
      <c r="D94" s="1"/>
      <c r="E94" s="1"/>
      <c r="F94" s="1"/>
      <c r="G94" s="1"/>
      <c r="H94" s="1"/>
      <c r="I94" s="1"/>
      <c r="J94" s="1"/>
      <c r="K94" s="1"/>
      <c r="L94" s="1"/>
    </row>
    <row r="95" spans="1:12" ht="12.75">
      <c r="A95" s="1"/>
      <c r="B95" s="1"/>
      <c r="C95" s="1"/>
      <c r="D95" s="1"/>
      <c r="E95" s="1"/>
      <c r="F95" s="1"/>
      <c r="G95" s="1"/>
      <c r="H95" s="1"/>
      <c r="I95" s="1"/>
      <c r="J95" s="1"/>
      <c r="K95" s="1"/>
      <c r="L95" s="1"/>
    </row>
    <row r="96" spans="1:12" ht="12.75">
      <c r="A96" s="1"/>
      <c r="B96" s="1"/>
      <c r="C96" s="1"/>
      <c r="D96" s="1"/>
      <c r="E96" s="1"/>
      <c r="F96" s="1"/>
      <c r="G96" s="1"/>
      <c r="H96" s="1"/>
      <c r="I96" s="1"/>
      <c r="J96" s="1"/>
      <c r="K96" s="1"/>
      <c r="L96" s="1"/>
    </row>
    <row r="97" spans="1:12" ht="12.75">
      <c r="A97" s="1"/>
      <c r="B97" s="1"/>
      <c r="C97" s="1"/>
      <c r="D97" s="1"/>
      <c r="E97" s="1"/>
      <c r="F97" s="1"/>
      <c r="G97" s="1"/>
      <c r="H97" s="1"/>
      <c r="I97" s="1"/>
      <c r="J97" s="1"/>
      <c r="K97" s="1"/>
      <c r="L97" s="1"/>
    </row>
    <row r="98" spans="1:12" ht="12.75">
      <c r="A98" s="1"/>
      <c r="B98" s="1"/>
      <c r="C98" s="1"/>
      <c r="D98" s="1"/>
      <c r="E98" s="1"/>
      <c r="F98" s="1"/>
      <c r="G98" s="1"/>
      <c r="H98" s="1"/>
      <c r="I98" s="1"/>
      <c r="J98" s="1"/>
      <c r="K98" s="1"/>
      <c r="L98" s="1"/>
    </row>
    <row r="99" spans="1:12" ht="12.75">
      <c r="A99" s="1"/>
      <c r="B99" s="1"/>
      <c r="C99" s="1"/>
      <c r="D99" s="1"/>
      <c r="E99" s="1"/>
      <c r="F99" s="1"/>
      <c r="G99" s="1"/>
      <c r="H99" s="1"/>
      <c r="I99" s="1"/>
      <c r="J99" s="1"/>
      <c r="K99" s="1"/>
      <c r="L99" s="1"/>
    </row>
    <row r="100" spans="1:12" ht="12.75">
      <c r="A100" s="1"/>
      <c r="B100" s="1"/>
      <c r="C100" s="1"/>
      <c r="D100" s="1"/>
      <c r="E100" s="1"/>
      <c r="F100" s="1"/>
      <c r="G100" s="1"/>
      <c r="H100" s="1"/>
      <c r="I100" s="1"/>
      <c r="J100" s="1"/>
      <c r="K100" s="1"/>
      <c r="L100" s="1"/>
    </row>
    <row r="101" spans="1:12" ht="12.75">
      <c r="A101" s="1"/>
      <c r="B101" s="1"/>
      <c r="C101" s="1"/>
      <c r="D101" s="1"/>
      <c r="E101" s="1"/>
      <c r="F101" s="1"/>
      <c r="G101" s="1"/>
      <c r="H101" s="1"/>
      <c r="I101" s="1"/>
      <c r="J101" s="1"/>
      <c r="K101" s="1"/>
      <c r="L101" s="1"/>
    </row>
    <row r="102" spans="1:12" ht="12.75">
      <c r="A102" s="1"/>
      <c r="B102" s="1"/>
      <c r="C102" s="1"/>
      <c r="D102" s="1"/>
      <c r="E102" s="1"/>
      <c r="F102" s="1"/>
      <c r="G102" s="1"/>
      <c r="H102" s="1"/>
      <c r="I102" s="1"/>
      <c r="J102" s="1"/>
      <c r="K102" s="1"/>
      <c r="L102" s="1"/>
    </row>
    <row r="103" spans="1:12" ht="12.75">
      <c r="A103" s="1"/>
      <c r="B103" s="1"/>
      <c r="C103" s="1"/>
      <c r="D103" s="1"/>
      <c r="E103" s="1"/>
      <c r="F103" s="1"/>
      <c r="G103" s="1"/>
      <c r="H103" s="1"/>
      <c r="I103" s="1"/>
      <c r="J103" s="1"/>
      <c r="K103" s="1"/>
      <c r="L103" s="1"/>
    </row>
    <row r="104" spans="1:12" ht="12.75">
      <c r="A104" s="1"/>
      <c r="B104" s="1"/>
      <c r="C104" s="1"/>
      <c r="D104" s="1"/>
      <c r="E104" s="1"/>
      <c r="F104" s="1"/>
      <c r="G104" s="1"/>
      <c r="H104" s="1"/>
      <c r="I104" s="1"/>
      <c r="J104" s="1"/>
      <c r="K104" s="1"/>
      <c r="L104" s="1"/>
    </row>
    <row r="105" spans="1:12" ht="12.75">
      <c r="A105" s="1"/>
      <c r="B105" s="1"/>
      <c r="C105" s="1"/>
      <c r="D105" s="1"/>
      <c r="E105" s="1"/>
      <c r="F105" s="1"/>
      <c r="G105" s="1"/>
      <c r="H105" s="1"/>
      <c r="I105" s="1"/>
      <c r="J105" s="1"/>
      <c r="K105" s="1"/>
      <c r="L105" s="1"/>
    </row>
    <row r="106" spans="1:12" ht="12.75">
      <c r="A106" s="1"/>
      <c r="B106" s="1"/>
      <c r="C106" s="1"/>
      <c r="D106" s="1"/>
      <c r="E106" s="1"/>
      <c r="F106" s="1"/>
      <c r="G106" s="1"/>
      <c r="H106" s="1"/>
      <c r="I106" s="1"/>
      <c r="J106" s="1"/>
      <c r="K106" s="1"/>
      <c r="L106" s="1"/>
    </row>
    <row r="107" spans="1:12" ht="12.75">
      <c r="A107" s="1"/>
      <c r="B107" s="1"/>
      <c r="C107" s="1"/>
      <c r="D107" s="1"/>
      <c r="E107" s="1"/>
      <c r="F107" s="1"/>
      <c r="G107" s="1"/>
      <c r="H107" s="1"/>
      <c r="I107" s="1"/>
      <c r="J107" s="1"/>
      <c r="K107" s="1"/>
      <c r="L107" s="1"/>
    </row>
    <row r="108" spans="1:12" ht="12.75">
      <c r="A108" s="1"/>
      <c r="B108" s="1"/>
      <c r="C108" s="1"/>
      <c r="D108" s="1"/>
      <c r="E108" s="1"/>
      <c r="F108" s="1"/>
      <c r="G108" s="1"/>
      <c r="H108" s="1"/>
      <c r="I108" s="1"/>
      <c r="J108" s="1"/>
      <c r="K108" s="1"/>
      <c r="L108" s="1"/>
    </row>
    <row r="109" spans="1:12" ht="12.75">
      <c r="A109" s="1"/>
      <c r="B109" s="1"/>
      <c r="C109" s="1"/>
      <c r="D109" s="1"/>
      <c r="E109" s="1"/>
      <c r="F109" s="1"/>
      <c r="G109" s="1"/>
      <c r="H109" s="1"/>
      <c r="I109" s="1"/>
      <c r="J109" s="1"/>
      <c r="K109" s="1"/>
      <c r="L109" s="1"/>
    </row>
    <row r="110" spans="1:12" ht="12.75">
      <c r="A110" s="1"/>
      <c r="B110" s="1"/>
      <c r="C110" s="1"/>
      <c r="D110" s="1"/>
      <c r="E110" s="1"/>
      <c r="F110" s="1"/>
      <c r="G110" s="1"/>
      <c r="H110" s="1"/>
      <c r="I110" s="1"/>
      <c r="J110" s="1"/>
      <c r="K110" s="1"/>
      <c r="L110" s="1"/>
    </row>
    <row r="111" spans="1:12" ht="12.75">
      <c r="A111" s="1"/>
      <c r="B111" s="1"/>
      <c r="C111" s="1"/>
      <c r="D111" s="1"/>
      <c r="E111" s="1"/>
      <c r="F111" s="1"/>
      <c r="G111" s="1"/>
      <c r="H111" s="1"/>
      <c r="I111" s="1"/>
      <c r="J111" s="1"/>
      <c r="K111" s="1"/>
      <c r="L111" s="1"/>
    </row>
    <row r="112" spans="1:12" ht="12.75">
      <c r="A112" s="1"/>
      <c r="B112" s="1"/>
      <c r="C112" s="1"/>
      <c r="D112" s="1"/>
      <c r="E112" s="1"/>
      <c r="F112" s="1"/>
      <c r="G112" s="1"/>
      <c r="H112" s="1"/>
      <c r="I112" s="1"/>
      <c r="J112" s="1"/>
      <c r="K112" s="1"/>
      <c r="L112" s="1"/>
    </row>
    <row r="113" spans="1:12" ht="12.75">
      <c r="A113" s="1"/>
      <c r="B113" s="1"/>
      <c r="C113" s="1"/>
      <c r="D113" s="1"/>
      <c r="E113" s="1"/>
      <c r="F113" s="1"/>
      <c r="G113" s="1"/>
      <c r="H113" s="1"/>
      <c r="I113" s="1"/>
      <c r="J113" s="1"/>
      <c r="K113" s="1"/>
      <c r="L113" s="1"/>
    </row>
    <row r="114" spans="1:12" ht="12.75">
      <c r="A114" s="1"/>
      <c r="B114" s="1"/>
      <c r="C114" s="1"/>
      <c r="D114" s="1"/>
      <c r="E114" s="1"/>
      <c r="F114" s="1"/>
      <c r="G114" s="1"/>
      <c r="H114" s="1"/>
      <c r="I114" s="1"/>
      <c r="J114" s="1"/>
      <c r="K114" s="1"/>
      <c r="L114" s="1"/>
    </row>
    <row r="115" spans="1:12" ht="12.75">
      <c r="A115" s="1"/>
      <c r="B115" s="1"/>
      <c r="C115" s="1"/>
      <c r="D115" s="1"/>
      <c r="E115" s="1"/>
      <c r="F115" s="1"/>
      <c r="G115" s="1"/>
      <c r="H115" s="1"/>
      <c r="I115" s="1"/>
      <c r="J115" s="1"/>
      <c r="K115" s="1"/>
      <c r="L115" s="1"/>
    </row>
  </sheetData>
  <sheetProtection password="9C19" sheet="1" objects="1" scenarios="1" selectLockedCells="1"/>
  <mergeCells count="16">
    <mergeCell ref="D56:E56"/>
    <mergeCell ref="D52:E52"/>
    <mergeCell ref="D54:E54"/>
    <mergeCell ref="C17:J19"/>
    <mergeCell ref="C27:J29"/>
    <mergeCell ref="C31:J31"/>
    <mergeCell ref="D50:E50"/>
    <mergeCell ref="D40:E40"/>
    <mergeCell ref="D42:E42"/>
    <mergeCell ref="D44:E44"/>
    <mergeCell ref="C23:J25"/>
    <mergeCell ref="D46:E46"/>
    <mergeCell ref="D48:E48"/>
    <mergeCell ref="C32:I32"/>
    <mergeCell ref="E35:H35"/>
    <mergeCell ref="C33:J34"/>
  </mergeCells>
  <hyperlinks>
    <hyperlink ref="J32" r:id="rId1" display="Cliquez ici"/>
  </hyperlinks>
  <printOptions/>
  <pageMargins left="0.75" right="0.75" top="1" bottom="1" header="0.4921259845" footer="0.4921259845"/>
  <pageSetup orientation="portrait" paperSize="9"/>
  <drawing r:id="rId2"/>
</worksheet>
</file>

<file path=xl/worksheets/sheet2.xml><?xml version="1.0" encoding="utf-8"?>
<worksheet xmlns="http://schemas.openxmlformats.org/spreadsheetml/2006/main" xmlns:r="http://schemas.openxmlformats.org/officeDocument/2006/relationships">
  <sheetPr codeName="Feuil2"/>
  <dimension ref="A1:AA170"/>
  <sheetViews>
    <sheetView showRowColHeaders="0" zoomScalePageLayoutView="0" workbookViewId="0" topLeftCell="A1">
      <selection activeCell="G21" sqref="G21"/>
    </sheetView>
  </sheetViews>
  <sheetFormatPr defaultColWidth="11.421875" defaultRowHeight="12.75"/>
  <cols>
    <col min="1" max="1" width="3.7109375" style="0" customWidth="1"/>
    <col min="2" max="2" width="1.7109375" style="0" customWidth="1"/>
    <col min="3" max="3" width="8.7109375" style="0" customWidth="1"/>
    <col min="4" max="4" width="10.7109375" style="0" customWidth="1"/>
    <col min="5" max="5" width="8.7109375" style="0" customWidth="1"/>
    <col min="6" max="6" width="2.7109375" style="0" customWidth="1"/>
    <col min="7" max="7" width="6.7109375" style="0" customWidth="1"/>
    <col min="8" max="8" width="2.7109375" style="0" customWidth="1"/>
    <col min="9" max="9" width="1.7109375" style="0" customWidth="1"/>
    <col min="10" max="10" width="2.28125" style="0" customWidth="1"/>
    <col min="11" max="11" width="1.7109375" style="0" customWidth="1"/>
    <col min="12" max="12" width="2.7109375" style="0" customWidth="1"/>
    <col min="13" max="13" width="6.7109375" style="0" customWidth="1"/>
    <col min="14" max="14" width="2.7109375" style="0" customWidth="1"/>
    <col min="15" max="15" width="1.7109375" style="0" customWidth="1"/>
    <col min="16" max="16" width="2.28125" style="0" customWidth="1"/>
    <col min="17" max="17" width="1.7109375" style="0" customWidth="1"/>
    <col min="18" max="18" width="2.7109375" style="0" customWidth="1"/>
    <col min="19" max="19" width="6.7109375" style="0" customWidth="1"/>
    <col min="20" max="20" width="2.7109375" style="0" customWidth="1"/>
    <col min="21" max="21" width="1.7109375" style="0" customWidth="1"/>
    <col min="22" max="22" width="2.28125" style="0" customWidth="1"/>
    <col min="23" max="23" width="2.7109375" style="0" customWidth="1"/>
    <col min="24" max="24" width="25.7109375" style="0" customWidth="1"/>
    <col min="25" max="25" width="20.7109375" style="0" customWidth="1"/>
    <col min="26" max="26" width="100.7109375" style="0" customWidth="1"/>
    <col min="27" max="27" width="80.7109375" style="0" customWidth="1"/>
  </cols>
  <sheetData>
    <row r="1" spans="1:27" ht="19.5" customHeight="1">
      <c r="A1" s="3"/>
      <c r="B1" s="3"/>
      <c r="C1" s="3"/>
      <c r="D1" s="3"/>
      <c r="E1" s="3"/>
      <c r="F1" s="3"/>
      <c r="G1" s="3"/>
      <c r="H1" s="3"/>
      <c r="I1" s="3"/>
      <c r="J1" s="3"/>
      <c r="K1" s="3"/>
      <c r="L1" s="3"/>
      <c r="M1" s="3"/>
      <c r="N1" s="3"/>
      <c r="O1" s="3"/>
      <c r="P1" s="3"/>
      <c r="Q1" s="3"/>
      <c r="R1" s="3"/>
      <c r="S1" s="3"/>
      <c r="T1" s="3"/>
      <c r="U1" s="3"/>
      <c r="V1" s="3"/>
      <c r="W1" s="3"/>
      <c r="X1" s="3"/>
      <c r="Y1" s="3"/>
      <c r="Z1" s="3"/>
      <c r="AA1" s="1"/>
    </row>
    <row r="2" spans="1:27" ht="14.25">
      <c r="A2" s="3"/>
      <c r="B2" s="3"/>
      <c r="C2" s="3"/>
      <c r="D2" s="3"/>
      <c r="E2" s="3"/>
      <c r="F2" s="3"/>
      <c r="G2" s="3"/>
      <c r="H2" s="3"/>
      <c r="I2" s="3"/>
      <c r="J2" s="3"/>
      <c r="K2" s="3"/>
      <c r="L2" s="3"/>
      <c r="M2" s="377" t="s">
        <v>509</v>
      </c>
      <c r="N2" s="3"/>
      <c r="O2" s="3"/>
      <c r="P2" s="3"/>
      <c r="Q2" s="3"/>
      <c r="R2" s="3"/>
      <c r="S2" s="3"/>
      <c r="T2" s="3"/>
      <c r="U2" s="3"/>
      <c r="V2" s="3"/>
      <c r="W2" s="5"/>
      <c r="X2" s="3"/>
      <c r="Y2" s="3"/>
      <c r="Z2" s="3"/>
      <c r="AA2" s="1"/>
    </row>
    <row r="3" spans="1:27" ht="18" customHeight="1">
      <c r="A3" s="337"/>
      <c r="B3" s="337"/>
      <c r="C3" s="3"/>
      <c r="D3" s="3"/>
      <c r="E3" s="3"/>
      <c r="F3" s="3"/>
      <c r="G3" s="3"/>
      <c r="H3" s="3"/>
      <c r="I3" s="3"/>
      <c r="J3" s="3"/>
      <c r="K3" s="3"/>
      <c r="L3" s="3"/>
      <c r="M3" s="378" t="s">
        <v>510</v>
      </c>
      <c r="N3" s="3"/>
      <c r="O3" s="3"/>
      <c r="P3" s="3"/>
      <c r="Q3" s="3"/>
      <c r="R3" s="3"/>
      <c r="S3" s="3"/>
      <c r="T3" s="3"/>
      <c r="U3" s="3"/>
      <c r="V3" s="3"/>
      <c r="W3" s="5"/>
      <c r="X3" s="3"/>
      <c r="Y3" s="3"/>
      <c r="Z3" s="3"/>
      <c r="AA3" s="1"/>
    </row>
    <row r="4" spans="1:27" ht="9.75" customHeight="1">
      <c r="A4" s="337"/>
      <c r="B4" s="337"/>
      <c r="C4" s="3"/>
      <c r="D4" s="365"/>
      <c r="E4" s="365"/>
      <c r="F4" s="365"/>
      <c r="G4" s="365"/>
      <c r="H4" s="365"/>
      <c r="I4" s="365"/>
      <c r="J4" s="365"/>
      <c r="K4" s="365"/>
      <c r="L4" s="365"/>
      <c r="M4" s="365"/>
      <c r="N4" s="365"/>
      <c r="O4" s="365"/>
      <c r="P4" s="365"/>
      <c r="Q4" s="365"/>
      <c r="R4" s="365"/>
      <c r="S4" s="365"/>
      <c r="T4" s="365"/>
      <c r="U4" s="365"/>
      <c r="V4" s="365"/>
      <c r="W4" s="365"/>
      <c r="X4" s="365"/>
      <c r="Y4" s="3"/>
      <c r="Z4" s="3"/>
      <c r="AA4" s="1"/>
    </row>
    <row r="5" spans="1:27" ht="12.75">
      <c r="A5" s="337"/>
      <c r="B5" s="337"/>
      <c r="C5" s="3"/>
      <c r="D5" s="5"/>
      <c r="E5" s="3"/>
      <c r="F5" s="3"/>
      <c r="G5" s="3"/>
      <c r="H5" s="3"/>
      <c r="I5" s="3"/>
      <c r="J5" s="3"/>
      <c r="K5" s="3"/>
      <c r="L5" s="3"/>
      <c r="M5" s="1"/>
      <c r="N5" s="3"/>
      <c r="O5" s="3"/>
      <c r="P5" s="3"/>
      <c r="Q5" s="3"/>
      <c r="R5" s="3"/>
      <c r="S5" s="3"/>
      <c r="T5" s="3"/>
      <c r="U5" s="3"/>
      <c r="V5" s="3"/>
      <c r="W5" s="5"/>
      <c r="X5" s="3"/>
      <c r="Y5" s="3"/>
      <c r="Z5" s="3"/>
      <c r="AA5" s="1"/>
    </row>
    <row r="6" spans="1:27" ht="14.25" customHeight="1">
      <c r="A6" s="337"/>
      <c r="B6" s="337"/>
      <c r="C6" s="3"/>
      <c r="D6" s="5"/>
      <c r="E6" s="7"/>
      <c r="F6" s="7"/>
      <c r="G6" s="7"/>
      <c r="H6" s="7"/>
      <c r="I6" s="7"/>
      <c r="J6" s="3"/>
      <c r="K6" s="7"/>
      <c r="L6" s="7"/>
      <c r="M6" s="7"/>
      <c r="N6" s="7"/>
      <c r="O6" s="7"/>
      <c r="P6" s="3"/>
      <c r="Q6" s="7"/>
      <c r="R6" s="7"/>
      <c r="S6" s="7"/>
      <c r="T6" s="7"/>
      <c r="U6" s="7"/>
      <c r="V6" s="3"/>
      <c r="W6" s="5"/>
      <c r="X6" s="419" t="s">
        <v>96</v>
      </c>
      <c r="Y6" s="419"/>
      <c r="Z6" s="3"/>
      <c r="AA6" s="1"/>
    </row>
    <row r="7" spans="1:27" ht="12.75" customHeight="1">
      <c r="A7" s="337"/>
      <c r="B7" s="337"/>
      <c r="C7" s="3"/>
      <c r="D7" s="5"/>
      <c r="E7" s="7"/>
      <c r="F7" s="7"/>
      <c r="G7" s="305" t="s">
        <v>72</v>
      </c>
      <c r="H7" s="7"/>
      <c r="I7" s="7"/>
      <c r="J7" s="3"/>
      <c r="K7" s="7"/>
      <c r="L7" s="7"/>
      <c r="M7" s="305" t="s">
        <v>73</v>
      </c>
      <c r="N7" s="7"/>
      <c r="O7" s="7"/>
      <c r="P7" s="3"/>
      <c r="Q7" s="7"/>
      <c r="R7" s="7"/>
      <c r="S7" s="305" t="s">
        <v>74</v>
      </c>
      <c r="T7" s="7"/>
      <c r="U7" s="7"/>
      <c r="V7" s="3"/>
      <c r="W7" s="5"/>
      <c r="X7" s="419"/>
      <c r="Y7" s="419"/>
      <c r="Z7" s="3"/>
      <c r="AA7" s="1"/>
    </row>
    <row r="8" spans="1:27" ht="12.75">
      <c r="A8" s="337"/>
      <c r="B8" s="337"/>
      <c r="C8" s="3"/>
      <c r="D8" s="5"/>
      <c r="E8" s="7"/>
      <c r="F8" s="7"/>
      <c r="G8" s="7"/>
      <c r="H8" s="7"/>
      <c r="I8" s="7"/>
      <c r="J8" s="3"/>
      <c r="K8" s="7"/>
      <c r="L8" s="7"/>
      <c r="M8" s="7"/>
      <c r="N8" s="7"/>
      <c r="O8" s="7"/>
      <c r="P8" s="3"/>
      <c r="Q8" s="7"/>
      <c r="R8" s="7"/>
      <c r="S8" s="7"/>
      <c r="T8" s="7"/>
      <c r="U8" s="7"/>
      <c r="V8" s="3"/>
      <c r="W8" s="3"/>
      <c r="X8" s="306" t="s">
        <v>100</v>
      </c>
      <c r="Y8" s="3"/>
      <c r="Z8" s="3"/>
      <c r="AA8" s="1"/>
    </row>
    <row r="9" spans="1:27" ht="14.25">
      <c r="A9" s="407" t="s">
        <v>82</v>
      </c>
      <c r="B9" s="399"/>
      <c r="C9" s="366">
        <v>1</v>
      </c>
      <c r="D9" s="8" t="s">
        <v>87</v>
      </c>
      <c r="E9" s="7"/>
      <c r="F9" s="7"/>
      <c r="G9" s="7"/>
      <c r="H9" s="7"/>
      <c r="I9" s="7"/>
      <c r="J9" s="3"/>
      <c r="K9" s="7"/>
      <c r="L9" s="7"/>
      <c r="M9" s="7"/>
      <c r="N9" s="7"/>
      <c r="O9" s="7"/>
      <c r="P9" s="3"/>
      <c r="Q9" s="7"/>
      <c r="R9" s="7"/>
      <c r="S9" s="7"/>
      <c r="T9" s="7"/>
      <c r="U9" s="7"/>
      <c r="V9" s="3"/>
      <c r="W9" s="5"/>
      <c r="X9" s="367" t="s">
        <v>347</v>
      </c>
      <c r="Y9" s="3"/>
      <c r="Z9" s="3"/>
      <c r="AA9" s="1"/>
    </row>
    <row r="10" spans="1:27" ht="12.75">
      <c r="A10" s="407" t="s">
        <v>312</v>
      </c>
      <c r="B10" s="399"/>
      <c r="C10" s="3"/>
      <c r="D10" s="9" t="s">
        <v>94</v>
      </c>
      <c r="E10" s="7"/>
      <c r="F10" s="7"/>
      <c r="G10" s="359">
        <v>1</v>
      </c>
      <c r="H10" s="7"/>
      <c r="I10" s="7"/>
      <c r="J10" s="3"/>
      <c r="K10" s="7"/>
      <c r="L10" s="7"/>
      <c r="M10" s="359">
        <v>1</v>
      </c>
      <c r="N10" s="7"/>
      <c r="O10" s="7"/>
      <c r="P10" s="3"/>
      <c r="Q10" s="7"/>
      <c r="R10" s="7"/>
      <c r="S10" s="359">
        <v>1</v>
      </c>
      <c r="T10" s="7"/>
      <c r="U10" s="7"/>
      <c r="V10" s="3"/>
      <c r="W10" s="5"/>
      <c r="X10" s="368" t="s">
        <v>348</v>
      </c>
      <c r="Y10" s="3"/>
      <c r="Z10" s="3"/>
      <c r="AA10" s="1"/>
    </row>
    <row r="11" spans="1:27" ht="12.75">
      <c r="A11" s="407" t="s">
        <v>86</v>
      </c>
      <c r="B11" s="399"/>
      <c r="C11" s="50">
        <v>2</v>
      </c>
      <c r="D11" s="369" t="s">
        <v>328</v>
      </c>
      <c r="E11" s="7"/>
      <c r="F11" s="7"/>
      <c r="G11" s="10">
        <v>1</v>
      </c>
      <c r="H11" s="7"/>
      <c r="I11" s="7"/>
      <c r="J11" s="3"/>
      <c r="K11" s="7"/>
      <c r="L11" s="7"/>
      <c r="M11" s="10">
        <v>3</v>
      </c>
      <c r="N11" s="7"/>
      <c r="O11" s="7"/>
      <c r="P11" s="3"/>
      <c r="Q11" s="7"/>
      <c r="R11" s="7"/>
      <c r="S11" s="10">
        <v>1</v>
      </c>
      <c r="T11" s="7"/>
      <c r="U11" s="7"/>
      <c r="V11" s="3"/>
      <c r="W11" s="5"/>
      <c r="X11" s="368"/>
      <c r="Y11" s="3"/>
      <c r="Z11" s="3"/>
      <c r="AA11" s="1"/>
    </row>
    <row r="12" spans="1:27" ht="9.75" customHeight="1">
      <c r="A12" s="407" t="s">
        <v>83</v>
      </c>
      <c r="B12" s="399"/>
      <c r="C12" s="50"/>
      <c r="D12" s="370"/>
      <c r="E12" s="7"/>
      <c r="F12" s="7"/>
      <c r="G12" s="359">
        <v>1</v>
      </c>
      <c r="H12" s="7"/>
      <c r="I12" s="7"/>
      <c r="J12" s="3"/>
      <c r="K12" s="7"/>
      <c r="L12" s="7"/>
      <c r="M12" s="359">
        <v>1</v>
      </c>
      <c r="N12" s="7"/>
      <c r="O12" s="7"/>
      <c r="P12" s="3"/>
      <c r="Q12" s="7"/>
      <c r="R12" s="7"/>
      <c r="S12" s="359">
        <v>1</v>
      </c>
      <c r="T12" s="7"/>
      <c r="U12" s="7"/>
      <c r="V12" s="3"/>
      <c r="W12" s="5"/>
      <c r="X12" s="413" t="s">
        <v>411</v>
      </c>
      <c r="Y12" s="413"/>
      <c r="Z12" s="3"/>
      <c r="AA12" s="1"/>
    </row>
    <row r="13" spans="1:27" ht="12.75">
      <c r="A13" s="407" t="s">
        <v>84</v>
      </c>
      <c r="B13" s="399"/>
      <c r="C13" s="50">
        <v>3</v>
      </c>
      <c r="D13" s="369" t="s">
        <v>52</v>
      </c>
      <c r="E13" s="7"/>
      <c r="F13" s="7"/>
      <c r="G13" s="10">
        <v>1</v>
      </c>
      <c r="H13" s="7"/>
      <c r="I13" s="7"/>
      <c r="J13" s="3"/>
      <c r="K13" s="7"/>
      <c r="L13" s="7"/>
      <c r="M13" s="10">
        <v>1</v>
      </c>
      <c r="N13" s="7"/>
      <c r="O13" s="7"/>
      <c r="P13" s="3"/>
      <c r="Q13" s="7"/>
      <c r="R13" s="7"/>
      <c r="S13" s="10">
        <v>1</v>
      </c>
      <c r="T13" s="7"/>
      <c r="U13" s="7"/>
      <c r="V13" s="3"/>
      <c r="W13" s="5"/>
      <c r="X13" s="413"/>
      <c r="Y13" s="413"/>
      <c r="Z13" s="3"/>
      <c r="AA13" s="1"/>
    </row>
    <row r="14" spans="1:27" ht="9.75" customHeight="1">
      <c r="A14" s="407" t="s">
        <v>329</v>
      </c>
      <c r="B14" s="399"/>
      <c r="C14" s="50"/>
      <c r="D14" s="9"/>
      <c r="E14" s="7"/>
      <c r="F14" s="7"/>
      <c r="G14" s="359">
        <v>1</v>
      </c>
      <c r="H14" s="7"/>
      <c r="I14" s="7"/>
      <c r="J14" s="3"/>
      <c r="K14" s="7"/>
      <c r="L14" s="7"/>
      <c r="M14" s="359">
        <v>1</v>
      </c>
      <c r="N14" s="7"/>
      <c r="O14" s="7"/>
      <c r="P14" s="3"/>
      <c r="Q14" s="7"/>
      <c r="R14" s="7"/>
      <c r="S14" s="359">
        <v>1</v>
      </c>
      <c r="T14" s="7"/>
      <c r="U14" s="7"/>
      <c r="V14" s="3"/>
      <c r="W14" s="5"/>
      <c r="X14" s="413"/>
      <c r="Y14" s="413"/>
      <c r="Z14" s="3"/>
      <c r="AA14" s="1"/>
    </row>
    <row r="15" spans="1:27" ht="14.25" customHeight="1">
      <c r="A15" s="407" t="s">
        <v>330</v>
      </c>
      <c r="B15" s="399"/>
      <c r="C15" s="50">
        <v>4</v>
      </c>
      <c r="D15" s="371" t="s">
        <v>118</v>
      </c>
      <c r="E15" s="16" t="s">
        <v>325</v>
      </c>
      <c r="F15" s="3"/>
      <c r="G15" s="372">
        <v>0</v>
      </c>
      <c r="H15" s="3" t="s">
        <v>119</v>
      </c>
      <c r="I15" s="3"/>
      <c r="J15" s="3"/>
      <c r="K15" s="3"/>
      <c r="L15" s="3"/>
      <c r="M15" s="372">
        <v>0</v>
      </c>
      <c r="N15" s="3" t="s">
        <v>119</v>
      </c>
      <c r="O15" s="3"/>
      <c r="P15" s="6"/>
      <c r="Q15" s="3"/>
      <c r="R15" s="3"/>
      <c r="S15" s="372">
        <v>0</v>
      </c>
      <c r="T15" s="3" t="s">
        <v>119</v>
      </c>
      <c r="U15" s="7"/>
      <c r="V15" s="3"/>
      <c r="W15" s="5"/>
      <c r="X15" s="420" t="s">
        <v>525</v>
      </c>
      <c r="Y15" s="420"/>
      <c r="Z15" s="3"/>
      <c r="AA15" s="1"/>
    </row>
    <row r="16" spans="1:27" ht="9.75" customHeight="1">
      <c r="A16" s="407" t="s">
        <v>336</v>
      </c>
      <c r="B16" s="399"/>
      <c r="C16" s="3"/>
      <c r="D16" s="371"/>
      <c r="E16" s="16"/>
      <c r="F16" s="3"/>
      <c r="G16" s="373"/>
      <c r="H16" s="3"/>
      <c r="I16" s="3"/>
      <c r="J16" s="3"/>
      <c r="K16" s="3"/>
      <c r="L16" s="3"/>
      <c r="M16" s="373"/>
      <c r="N16" s="3"/>
      <c r="O16" s="3"/>
      <c r="P16" s="6"/>
      <c r="Q16" s="3"/>
      <c r="R16" s="3"/>
      <c r="S16" s="373"/>
      <c r="T16" s="3"/>
      <c r="U16" s="7"/>
      <c r="V16" s="3"/>
      <c r="W16" s="5"/>
      <c r="X16" s="420"/>
      <c r="Y16" s="420"/>
      <c r="Z16" s="3"/>
      <c r="AA16" s="1"/>
    </row>
    <row r="17" spans="1:27" ht="14.25">
      <c r="A17" s="407" t="s">
        <v>337</v>
      </c>
      <c r="B17" s="399"/>
      <c r="C17" s="50">
        <v>5</v>
      </c>
      <c r="D17" s="371" t="s">
        <v>120</v>
      </c>
      <c r="E17" s="16" t="s">
        <v>326</v>
      </c>
      <c r="F17" s="3"/>
      <c r="G17" s="372">
        <v>0</v>
      </c>
      <c r="H17" s="3" t="s">
        <v>119</v>
      </c>
      <c r="I17" s="3"/>
      <c r="J17" s="3"/>
      <c r="K17" s="3"/>
      <c r="L17" s="3"/>
      <c r="M17" s="372">
        <v>0</v>
      </c>
      <c r="N17" s="3" t="s">
        <v>119</v>
      </c>
      <c r="O17" s="3"/>
      <c r="P17" s="6"/>
      <c r="Q17" s="3"/>
      <c r="R17" s="3"/>
      <c r="S17" s="372">
        <v>0</v>
      </c>
      <c r="T17" s="3" t="s">
        <v>119</v>
      </c>
      <c r="U17" s="7"/>
      <c r="V17" s="3"/>
      <c r="W17" s="5"/>
      <c r="X17" s="420"/>
      <c r="Y17" s="420"/>
      <c r="Z17" s="3"/>
      <c r="AA17" s="1"/>
    </row>
    <row r="18" spans="1:27" ht="9.75" customHeight="1">
      <c r="A18" s="407" t="s">
        <v>335</v>
      </c>
      <c r="B18" s="399"/>
      <c r="C18" s="50"/>
      <c r="D18" s="3"/>
      <c r="E18" s="13"/>
      <c r="F18" s="3"/>
      <c r="G18" s="3"/>
      <c r="H18" s="3"/>
      <c r="I18" s="3"/>
      <c r="J18" s="3"/>
      <c r="K18" s="3"/>
      <c r="L18" s="3"/>
      <c r="M18" s="3"/>
      <c r="N18" s="3"/>
      <c r="O18" s="3"/>
      <c r="P18" s="6"/>
      <c r="Q18" s="3"/>
      <c r="R18" s="3"/>
      <c r="S18" s="3"/>
      <c r="T18" s="3"/>
      <c r="U18" s="7"/>
      <c r="V18" s="3"/>
      <c r="W18" s="5"/>
      <c r="X18" s="420" t="s">
        <v>410</v>
      </c>
      <c r="Y18" s="420"/>
      <c r="Z18" s="3"/>
      <c r="AA18" s="1"/>
    </row>
    <row r="19" spans="1:27" ht="14.25">
      <c r="A19" s="407" t="s">
        <v>331</v>
      </c>
      <c r="B19" s="399"/>
      <c r="C19" s="50">
        <v>6</v>
      </c>
      <c r="D19" s="371" t="s">
        <v>121</v>
      </c>
      <c r="E19" s="16" t="s">
        <v>327</v>
      </c>
      <c r="F19" s="3"/>
      <c r="G19" s="372">
        <v>0</v>
      </c>
      <c r="H19" s="3" t="s">
        <v>119</v>
      </c>
      <c r="I19" s="3"/>
      <c r="J19" s="3"/>
      <c r="K19" s="3"/>
      <c r="L19" s="3"/>
      <c r="M19" s="372">
        <v>0</v>
      </c>
      <c r="N19" s="3" t="s">
        <v>119</v>
      </c>
      <c r="O19" s="3"/>
      <c r="P19" s="6"/>
      <c r="Q19" s="3"/>
      <c r="R19" s="3"/>
      <c r="S19" s="372">
        <v>0</v>
      </c>
      <c r="T19" s="3" t="s">
        <v>119</v>
      </c>
      <c r="U19" s="3"/>
      <c r="V19" s="3"/>
      <c r="W19" s="5"/>
      <c r="X19" s="420"/>
      <c r="Y19" s="420"/>
      <c r="Z19" s="3"/>
      <c r="AA19" s="1"/>
    </row>
    <row r="20" spans="1:27" ht="9.75" customHeight="1">
      <c r="A20" s="407" t="s">
        <v>332</v>
      </c>
      <c r="B20" s="399"/>
      <c r="C20" s="5"/>
      <c r="D20" s="3"/>
      <c r="E20" s="13"/>
      <c r="F20" s="3"/>
      <c r="G20" s="3"/>
      <c r="H20" s="3"/>
      <c r="I20" s="3"/>
      <c r="J20" s="3"/>
      <c r="K20" s="3"/>
      <c r="L20" s="3"/>
      <c r="M20" s="3"/>
      <c r="N20" s="3"/>
      <c r="O20" s="3"/>
      <c r="P20" s="3"/>
      <c r="Q20" s="3"/>
      <c r="R20" s="3"/>
      <c r="S20" s="3"/>
      <c r="T20" s="3"/>
      <c r="U20" s="3"/>
      <c r="V20" s="3"/>
      <c r="W20" s="5"/>
      <c r="X20" s="420"/>
      <c r="Y20" s="420"/>
      <c r="Z20" s="3"/>
      <c r="AA20" s="1"/>
    </row>
    <row r="21" spans="1:27" ht="14.25" customHeight="1">
      <c r="A21" s="407" t="s">
        <v>333</v>
      </c>
      <c r="B21" s="399"/>
      <c r="C21" s="50">
        <f>IF(OR(A24&gt;1,A27&gt;1,A30&gt;1),7,"")</f>
      </c>
      <c r="D21" s="374">
        <f>IF(OR(A24&gt;1,A27&gt;1,A30&gt;1),"Longueur","")</f>
      </c>
      <c r="E21" s="16">
        <f>IF(OR(A24&gt;1,A27&gt;1,A30&gt;1),"L1","")</f>
      </c>
      <c r="F21" s="3"/>
      <c r="G21" s="372">
        <v>0</v>
      </c>
      <c r="H21" s="3">
        <f>IF(A24&gt;1,"m","")</f>
      </c>
      <c r="I21" s="3"/>
      <c r="J21" s="3"/>
      <c r="K21" s="3"/>
      <c r="L21" s="3"/>
      <c r="M21" s="372">
        <v>0</v>
      </c>
      <c r="N21" s="3">
        <f>IF(A27&gt;1,"m","")</f>
      </c>
      <c r="O21" s="3"/>
      <c r="P21" s="6"/>
      <c r="Q21" s="3"/>
      <c r="R21" s="3"/>
      <c r="S21" s="372">
        <v>0</v>
      </c>
      <c r="T21" s="3">
        <f>IF(A30&gt;1,"m","")</f>
      </c>
      <c r="U21" s="7"/>
      <c r="V21" s="3"/>
      <c r="W21" s="3"/>
      <c r="X21" s="420" t="s">
        <v>349</v>
      </c>
      <c r="Y21" s="420"/>
      <c r="Z21" s="3"/>
      <c r="AA21" s="1"/>
    </row>
    <row r="22" spans="1:27" ht="9.75" customHeight="1">
      <c r="A22" s="407" t="s">
        <v>334</v>
      </c>
      <c r="B22" s="400"/>
      <c r="C22" s="5"/>
      <c r="D22" s="3"/>
      <c r="E22" s="13"/>
      <c r="F22" s="3"/>
      <c r="G22" s="3"/>
      <c r="H22" s="3"/>
      <c r="I22" s="3"/>
      <c r="J22" s="3"/>
      <c r="K22" s="3"/>
      <c r="L22" s="3"/>
      <c r="M22" s="3"/>
      <c r="N22" s="3"/>
      <c r="O22" s="3"/>
      <c r="P22" s="6"/>
      <c r="Q22" s="3"/>
      <c r="R22" s="3"/>
      <c r="S22" s="3"/>
      <c r="T22" s="3"/>
      <c r="U22" s="7"/>
      <c r="V22" s="3"/>
      <c r="W22" s="5"/>
      <c r="X22" s="420"/>
      <c r="Y22" s="420"/>
      <c r="Z22" s="3"/>
      <c r="AA22" s="1"/>
    </row>
    <row r="23" spans="1:27" ht="14.25">
      <c r="A23" s="357">
        <f>G10</f>
        <v>1</v>
      </c>
      <c r="B23" s="399"/>
      <c r="C23" s="50">
        <f>IF(OR(A24&gt;1,A27&gt;1,A30&gt;1),8,"")</f>
      </c>
      <c r="D23" s="374">
        <f>IF(OR(A24&gt;1,A27&gt;1,A30&gt;1),"Largeur","")</f>
      </c>
      <c r="E23" s="16">
        <f>IF(OR(A24&gt;1,A27&gt;1,A30&gt;1),"W1","")</f>
      </c>
      <c r="F23" s="3"/>
      <c r="G23" s="372">
        <v>0</v>
      </c>
      <c r="H23" s="3">
        <f>IF(A24&gt;1,"m","")</f>
      </c>
      <c r="I23" s="3"/>
      <c r="J23" s="3"/>
      <c r="K23" s="3"/>
      <c r="L23" s="3"/>
      <c r="M23" s="372">
        <v>0</v>
      </c>
      <c r="N23" s="3">
        <f>IF(A27&gt;1,"m","")</f>
      </c>
      <c r="O23" s="3"/>
      <c r="P23" s="6"/>
      <c r="Q23" s="3"/>
      <c r="R23" s="3"/>
      <c r="S23" s="372">
        <v>0</v>
      </c>
      <c r="T23" s="3">
        <f>IF(A30&gt;1,"m","")</f>
      </c>
      <c r="U23" s="7"/>
      <c r="V23" s="3"/>
      <c r="W23" s="5"/>
      <c r="X23" s="420"/>
      <c r="Y23" s="420"/>
      <c r="Z23" s="3"/>
      <c r="AA23" s="1"/>
    </row>
    <row r="24" spans="1:27" ht="9.75" customHeight="1">
      <c r="A24" s="357">
        <f>IF(G10=1,0,G12)</f>
        <v>0</v>
      </c>
      <c r="B24" s="399"/>
      <c r="C24" s="5"/>
      <c r="D24" s="5"/>
      <c r="E24" s="13"/>
      <c r="F24" s="3"/>
      <c r="G24" s="3"/>
      <c r="H24" s="3"/>
      <c r="I24" s="3"/>
      <c r="J24" s="3"/>
      <c r="K24" s="3"/>
      <c r="L24" s="3"/>
      <c r="M24" s="3"/>
      <c r="N24" s="3"/>
      <c r="O24" s="3"/>
      <c r="P24" s="3"/>
      <c r="Q24" s="3"/>
      <c r="R24" s="3"/>
      <c r="S24" s="3"/>
      <c r="T24" s="3"/>
      <c r="U24" s="3"/>
      <c r="V24" s="3"/>
      <c r="W24" s="5"/>
      <c r="X24" s="420"/>
      <c r="Y24" s="420"/>
      <c r="Z24" s="3"/>
      <c r="AA24" s="1"/>
    </row>
    <row r="25" spans="1:27" ht="14.25">
      <c r="A25" s="357">
        <f>IF(G10=1,0,G14)</f>
        <v>0</v>
      </c>
      <c r="B25" s="399"/>
      <c r="C25" s="50">
        <f>IF(OR(A25=4,A28=4,A31=4),9,"")</f>
      </c>
      <c r="D25" s="374">
        <f>IF(OR(A25=4,A28=4,A31=4),"Comble","")</f>
      </c>
      <c r="E25" s="16">
        <f>IF(OR(A25=4,A28=4,A31=4),"C1","")</f>
      </c>
      <c r="F25" s="3"/>
      <c r="G25" s="372">
        <v>0</v>
      </c>
      <c r="H25" s="3">
        <f>IF(A25=4,"m","")</f>
      </c>
      <c r="I25" s="3"/>
      <c r="J25" s="3"/>
      <c r="K25" s="3"/>
      <c r="L25" s="3"/>
      <c r="M25" s="372">
        <v>0</v>
      </c>
      <c r="N25" s="3">
        <f>IF(A28=4,"m","")</f>
      </c>
      <c r="O25" s="3"/>
      <c r="P25" s="6"/>
      <c r="Q25" s="3"/>
      <c r="R25" s="3"/>
      <c r="S25" s="372">
        <v>0</v>
      </c>
      <c r="T25" s="3">
        <f>IF(A31=4,"m","")</f>
      </c>
      <c r="U25" s="3"/>
      <c r="V25" s="3"/>
      <c r="W25" s="5"/>
      <c r="X25" s="420"/>
      <c r="Y25" s="420"/>
      <c r="Z25" s="3"/>
      <c r="AA25" s="1"/>
    </row>
    <row r="26" spans="1:27" ht="9.75" customHeight="1">
      <c r="A26" s="357">
        <f>M10</f>
        <v>1</v>
      </c>
      <c r="B26" s="399"/>
      <c r="C26" s="3"/>
      <c r="D26" s="5"/>
      <c r="E26" s="13"/>
      <c r="F26" s="3"/>
      <c r="G26" s="3"/>
      <c r="H26" s="3"/>
      <c r="I26" s="3"/>
      <c r="J26" s="3"/>
      <c r="K26" s="3"/>
      <c r="L26" s="3"/>
      <c r="M26" s="3"/>
      <c r="N26" s="3"/>
      <c r="O26" s="3"/>
      <c r="P26" s="3"/>
      <c r="Q26" s="3"/>
      <c r="R26" s="3"/>
      <c r="S26" s="3"/>
      <c r="T26" s="3"/>
      <c r="U26" s="3"/>
      <c r="V26" s="3"/>
      <c r="W26" s="5"/>
      <c r="X26" s="421" t="s">
        <v>412</v>
      </c>
      <c r="Y26" s="421"/>
      <c r="Z26" s="3"/>
      <c r="AA26" s="1"/>
    </row>
    <row r="27" spans="1:27" ht="14.25">
      <c r="A27" s="357">
        <f>IF(M10=1,0,M12)</f>
        <v>0</v>
      </c>
      <c r="B27" s="399"/>
      <c r="C27" s="50">
        <f>IF(OR(A24=5,A27=5,A30=5),10,"")</f>
      </c>
      <c r="D27" s="374">
        <f>IF(OR(A24=5,A27=5,A30=5),"Diagonale","")</f>
      </c>
      <c r="E27" s="16">
        <f>IF(OR(A24=5,A27=5,A30=5),"D1","")</f>
      </c>
      <c r="F27" s="3"/>
      <c r="G27" s="372">
        <v>0</v>
      </c>
      <c r="H27" s="3">
        <f>IF(A24=5,"m","")</f>
      </c>
      <c r="I27" s="3"/>
      <c r="J27" s="3"/>
      <c r="K27" s="3"/>
      <c r="L27" s="3"/>
      <c r="M27" s="372">
        <v>0</v>
      </c>
      <c r="N27" s="3">
        <f>IF(A27=5,"m","")</f>
      </c>
      <c r="O27" s="3"/>
      <c r="P27" s="6"/>
      <c r="Q27" s="3"/>
      <c r="R27" s="3"/>
      <c r="S27" s="372">
        <v>0</v>
      </c>
      <c r="T27" s="3">
        <f>IF(A30=5,"m","")</f>
      </c>
      <c r="U27" s="3"/>
      <c r="V27" s="3"/>
      <c r="W27" s="5"/>
      <c r="X27" s="421"/>
      <c r="Y27" s="421"/>
      <c r="Z27" s="3"/>
      <c r="AA27" s="1"/>
    </row>
    <row r="28" spans="1:27" ht="9.75" customHeight="1">
      <c r="A28" s="357">
        <f>IF(M10=1,0,M14)</f>
        <v>0</v>
      </c>
      <c r="B28" s="399"/>
      <c r="C28" s="5"/>
      <c r="D28" s="5"/>
      <c r="E28" s="13"/>
      <c r="F28" s="3"/>
      <c r="G28" s="3"/>
      <c r="H28" s="3"/>
      <c r="I28" s="3"/>
      <c r="J28" s="3"/>
      <c r="K28" s="3"/>
      <c r="L28" s="3"/>
      <c r="M28" s="3"/>
      <c r="N28" s="3"/>
      <c r="O28" s="3"/>
      <c r="P28" s="3"/>
      <c r="Q28" s="3"/>
      <c r="R28" s="3"/>
      <c r="S28" s="3"/>
      <c r="T28" s="3"/>
      <c r="U28" s="3"/>
      <c r="V28" s="3"/>
      <c r="W28" s="5"/>
      <c r="X28" s="421"/>
      <c r="Y28" s="421"/>
      <c r="Z28" s="3"/>
      <c r="AA28" s="1"/>
    </row>
    <row r="29" spans="1:27" ht="14.25">
      <c r="A29" s="357">
        <f>S10</f>
        <v>1</v>
      </c>
      <c r="B29" s="399"/>
      <c r="C29" s="50">
        <f>IF(OR(A24=5,A27=5,A30=5),10,"")</f>
      </c>
      <c r="D29" s="374">
        <f>IF(OR(A24=5,A27=5,A30=5),"Diagonale","")</f>
      </c>
      <c r="E29" s="16">
        <f>IF(OR(A24=5,A27=5,A30=5),"D2","")</f>
      </c>
      <c r="F29" s="3"/>
      <c r="G29" s="372">
        <v>0</v>
      </c>
      <c r="H29" s="3">
        <f>IF(A24=5,"m","")</f>
      </c>
      <c r="I29" s="3"/>
      <c r="J29" s="3"/>
      <c r="K29" s="3"/>
      <c r="L29" s="3"/>
      <c r="M29" s="372">
        <v>0</v>
      </c>
      <c r="N29" s="3">
        <f>IF(A27=5,"m","")</f>
      </c>
      <c r="O29" s="3"/>
      <c r="P29" s="6"/>
      <c r="Q29" s="3"/>
      <c r="R29" s="3"/>
      <c r="S29" s="372">
        <v>0</v>
      </c>
      <c r="T29" s="3">
        <f>IF(A30=5,"m","")</f>
      </c>
      <c r="U29" s="3"/>
      <c r="V29" s="3"/>
      <c r="W29" s="5"/>
      <c r="X29" s="421"/>
      <c r="Y29" s="421"/>
      <c r="Z29" s="3"/>
      <c r="AA29" s="1"/>
    </row>
    <row r="30" spans="1:27" ht="9.75" customHeight="1">
      <c r="A30" s="357">
        <f>IF(S10=1,0,S12)</f>
        <v>0</v>
      </c>
      <c r="B30" s="399"/>
      <c r="C30" s="3"/>
      <c r="D30" s="3"/>
      <c r="E30" s="13"/>
      <c r="F30" s="3"/>
      <c r="G30" s="3"/>
      <c r="H30" s="3"/>
      <c r="I30" s="3"/>
      <c r="J30" s="3"/>
      <c r="K30" s="3"/>
      <c r="L30" s="3"/>
      <c r="M30" s="3"/>
      <c r="N30" s="3"/>
      <c r="O30" s="3"/>
      <c r="P30" s="3"/>
      <c r="Q30" s="3"/>
      <c r="R30" s="3"/>
      <c r="S30" s="3"/>
      <c r="T30" s="3"/>
      <c r="U30" s="3"/>
      <c r="V30" s="3"/>
      <c r="W30" s="5"/>
      <c r="X30" s="3"/>
      <c r="Y30" s="3"/>
      <c r="Z30" s="3"/>
      <c r="AA30" s="1"/>
    </row>
    <row r="31" spans="1:27" ht="14.25">
      <c r="A31" s="357">
        <f>IF(S10=1,0,S14)</f>
        <v>0</v>
      </c>
      <c r="B31" s="399"/>
      <c r="C31" s="50">
        <f>IF(OR(A25&gt;1,A28&gt;1,A31&gt;1),12,"")</f>
      </c>
      <c r="D31" s="374">
        <f>IF(OR(A25&gt;1,A28&gt;1,A31&gt;1),"Hauteur","")</f>
      </c>
      <c r="E31" s="16">
        <f>IF(OR(A25&gt;1,A28&gt;1,A31&gt;1),"H1","")</f>
      </c>
      <c r="F31" s="3"/>
      <c r="G31" s="372">
        <v>0</v>
      </c>
      <c r="H31" s="3">
        <f>IF(A25&gt;1,"m","")</f>
      </c>
      <c r="I31" s="3"/>
      <c r="J31" s="3"/>
      <c r="K31" s="3"/>
      <c r="L31" s="3"/>
      <c r="M31" s="372">
        <v>0</v>
      </c>
      <c r="N31" s="3">
        <f>IF(A28&gt;1,"m","")</f>
      </c>
      <c r="O31" s="3"/>
      <c r="P31" s="6"/>
      <c r="Q31" s="3"/>
      <c r="R31" s="3"/>
      <c r="S31" s="372">
        <v>0</v>
      </c>
      <c r="T31" s="3">
        <f>IF(A31&gt;1,"m","")</f>
      </c>
      <c r="U31" s="3"/>
      <c r="V31" s="3"/>
      <c r="W31" s="5"/>
      <c r="X31" s="3"/>
      <c r="Y31" s="3"/>
      <c r="Z31" s="3"/>
      <c r="AA31" s="1"/>
    </row>
    <row r="32" spans="1:27" ht="12.75">
      <c r="A32" s="401"/>
      <c r="B32" s="399"/>
      <c r="C32" s="5"/>
      <c r="D32" s="5"/>
      <c r="E32" s="16"/>
      <c r="F32" s="3"/>
      <c r="G32" s="3"/>
      <c r="H32" s="3"/>
      <c r="I32" s="3"/>
      <c r="J32" s="3"/>
      <c r="K32" s="3"/>
      <c r="L32" s="3"/>
      <c r="M32" s="3"/>
      <c r="N32" s="3"/>
      <c r="O32" s="3"/>
      <c r="P32" s="3"/>
      <c r="Q32" s="3"/>
      <c r="R32" s="3"/>
      <c r="S32" s="3"/>
      <c r="T32" s="3"/>
      <c r="U32" s="3"/>
      <c r="V32" s="3"/>
      <c r="W32" s="5"/>
      <c r="X32" s="3"/>
      <c r="Y32" s="3"/>
      <c r="Z32" s="3"/>
      <c r="AA32" s="1"/>
    </row>
    <row r="33" spans="1:27" ht="12.75">
      <c r="A33" s="3"/>
      <c r="B33" s="337" t="s">
        <v>277</v>
      </c>
      <c r="C33" s="337"/>
      <c r="D33" s="337"/>
      <c r="E33" s="337"/>
      <c r="F33" s="337"/>
      <c r="G33" s="337"/>
      <c r="H33" s="337"/>
      <c r="I33" s="337"/>
      <c r="J33" s="337"/>
      <c r="K33" s="337"/>
      <c r="L33" s="337"/>
      <c r="M33" s="337"/>
      <c r="N33" s="337"/>
      <c r="O33" s="337"/>
      <c r="P33" s="337"/>
      <c r="Q33" s="337"/>
      <c r="R33" s="337"/>
      <c r="S33" s="337"/>
      <c r="T33" s="337"/>
      <c r="U33" s="337"/>
      <c r="V33" s="337"/>
      <c r="W33" s="3"/>
      <c r="X33" s="3"/>
      <c r="Y33" s="3"/>
      <c r="Z33" s="3"/>
      <c r="AA33" s="1"/>
    </row>
    <row r="34" spans="1:27" ht="12.75">
      <c r="A34" s="3"/>
      <c r="B34" s="337"/>
      <c r="C34" s="337"/>
      <c r="D34" s="337"/>
      <c r="E34" s="337"/>
      <c r="F34" s="337"/>
      <c r="G34" s="337"/>
      <c r="H34" s="337"/>
      <c r="I34" s="337"/>
      <c r="J34" s="337"/>
      <c r="K34" s="337"/>
      <c r="L34" s="337"/>
      <c r="M34" s="337"/>
      <c r="N34" s="337"/>
      <c r="O34" s="337"/>
      <c r="P34" s="337"/>
      <c r="Q34" s="337"/>
      <c r="R34" s="337"/>
      <c r="S34" s="337"/>
      <c r="T34" s="337"/>
      <c r="U34" s="337"/>
      <c r="V34" s="337"/>
      <c r="W34" s="3"/>
      <c r="X34" s="3"/>
      <c r="Y34" s="3"/>
      <c r="Z34" s="3"/>
      <c r="AA34" s="1"/>
    </row>
    <row r="35" spans="1:27" ht="12.75">
      <c r="A35" s="3"/>
      <c r="B35" s="3"/>
      <c r="C35" s="3"/>
      <c r="D35" s="275"/>
      <c r="E35" s="3"/>
      <c r="F35" s="3"/>
      <c r="G35" s="3"/>
      <c r="H35" s="3"/>
      <c r="I35" s="3"/>
      <c r="J35" s="3"/>
      <c r="K35" s="3"/>
      <c r="L35" s="3"/>
      <c r="M35" s="3"/>
      <c r="N35" s="3"/>
      <c r="O35" s="3"/>
      <c r="P35" s="3"/>
      <c r="Q35" s="3"/>
      <c r="R35" s="3"/>
      <c r="S35" s="3"/>
      <c r="T35" s="3"/>
      <c r="U35" s="3"/>
      <c r="V35" s="3"/>
      <c r="W35" s="3"/>
      <c r="X35" s="3"/>
      <c r="Y35" s="3"/>
      <c r="Z35" s="3"/>
      <c r="AA35" s="1"/>
    </row>
    <row r="36" spans="1:27" ht="12.75">
      <c r="A36" s="3"/>
      <c r="B36" s="3"/>
      <c r="C36" s="3"/>
      <c r="D36" s="3"/>
      <c r="E36" s="3"/>
      <c r="F36" s="3"/>
      <c r="G36" s="3"/>
      <c r="H36" s="3"/>
      <c r="I36" s="3"/>
      <c r="J36" s="3"/>
      <c r="K36" s="3"/>
      <c r="L36" s="3"/>
      <c r="M36" s="3"/>
      <c r="N36" s="3"/>
      <c r="O36" s="3"/>
      <c r="P36" s="3"/>
      <c r="Q36" s="3"/>
      <c r="R36" s="3"/>
      <c r="S36" s="3"/>
      <c r="T36" s="3"/>
      <c r="U36" s="3"/>
      <c r="V36" s="3"/>
      <c r="W36" s="3"/>
      <c r="X36" s="3"/>
      <c r="Y36" s="3"/>
      <c r="Z36" s="3"/>
      <c r="AA36" s="1"/>
    </row>
    <row r="37" spans="1:27" ht="12.75">
      <c r="A37" s="3"/>
      <c r="B37" s="3"/>
      <c r="C37" s="3"/>
      <c r="D37" s="3"/>
      <c r="E37" s="3"/>
      <c r="F37" s="3"/>
      <c r="G37" s="3"/>
      <c r="H37" s="3"/>
      <c r="I37" s="3"/>
      <c r="J37" s="3"/>
      <c r="K37" s="3"/>
      <c r="L37" s="3"/>
      <c r="M37" s="3"/>
      <c r="N37" s="3"/>
      <c r="O37" s="3"/>
      <c r="P37" s="3"/>
      <c r="Q37" s="3"/>
      <c r="R37" s="3"/>
      <c r="S37" s="3"/>
      <c r="T37" s="3"/>
      <c r="U37" s="3"/>
      <c r="V37" s="3"/>
      <c r="W37" s="3"/>
      <c r="X37" s="3"/>
      <c r="Y37" s="3"/>
      <c r="Z37" s="3"/>
      <c r="AA37" s="1"/>
    </row>
    <row r="38" spans="1:27" ht="12.75">
      <c r="A38" s="3"/>
      <c r="B38" s="3"/>
      <c r="C38" s="3"/>
      <c r="D38" s="3"/>
      <c r="E38" s="3"/>
      <c r="F38" s="3"/>
      <c r="G38" s="3"/>
      <c r="H38" s="3"/>
      <c r="I38" s="3"/>
      <c r="J38" s="3"/>
      <c r="K38" s="3"/>
      <c r="L38" s="3"/>
      <c r="M38" s="3"/>
      <c r="N38" s="3"/>
      <c r="O38" s="3"/>
      <c r="P38" s="3"/>
      <c r="Q38" s="3"/>
      <c r="R38" s="3"/>
      <c r="S38" s="3"/>
      <c r="T38" s="3"/>
      <c r="U38" s="3"/>
      <c r="V38" s="3"/>
      <c r="W38" s="3"/>
      <c r="X38" s="3"/>
      <c r="Y38" s="3"/>
      <c r="Z38" s="3"/>
      <c r="AA38" s="1"/>
    </row>
    <row r="39" spans="1:27" ht="12.75">
      <c r="A39" s="3"/>
      <c r="B39" s="3"/>
      <c r="C39" s="3"/>
      <c r="D39" s="3"/>
      <c r="E39" s="3"/>
      <c r="F39" s="3"/>
      <c r="G39" s="3"/>
      <c r="H39" s="3"/>
      <c r="I39" s="3"/>
      <c r="J39" s="3"/>
      <c r="K39" s="3"/>
      <c r="L39" s="3"/>
      <c r="M39" s="3"/>
      <c r="N39" s="3"/>
      <c r="O39" s="3"/>
      <c r="P39" s="3"/>
      <c r="Q39" s="3"/>
      <c r="R39" s="3"/>
      <c r="S39" s="3"/>
      <c r="T39" s="3"/>
      <c r="U39" s="3"/>
      <c r="V39" s="3"/>
      <c r="W39" s="3"/>
      <c r="X39" s="3"/>
      <c r="Y39" s="3"/>
      <c r="Z39" s="3"/>
      <c r="AA39" s="1"/>
    </row>
    <row r="40" spans="1:27" ht="12.75">
      <c r="A40" s="3"/>
      <c r="B40" s="3"/>
      <c r="C40" s="3"/>
      <c r="D40" s="3"/>
      <c r="E40" s="3"/>
      <c r="F40" s="3"/>
      <c r="G40" s="3"/>
      <c r="H40" s="3"/>
      <c r="I40" s="3"/>
      <c r="J40" s="3"/>
      <c r="K40" s="3"/>
      <c r="L40" s="3"/>
      <c r="M40" s="3"/>
      <c r="N40" s="3"/>
      <c r="O40" s="3"/>
      <c r="P40" s="3"/>
      <c r="Q40" s="3"/>
      <c r="R40" s="3"/>
      <c r="S40" s="3"/>
      <c r="T40" s="3"/>
      <c r="U40" s="3"/>
      <c r="V40" s="3"/>
      <c r="W40" s="3"/>
      <c r="X40" s="3"/>
      <c r="Y40" s="3"/>
      <c r="Z40" s="3"/>
      <c r="AA40" s="1"/>
    </row>
    <row r="41" spans="1:27" ht="12.75">
      <c r="A41" s="3"/>
      <c r="B41" s="3"/>
      <c r="C41" s="3"/>
      <c r="D41" s="3"/>
      <c r="E41" s="3"/>
      <c r="F41" s="3"/>
      <c r="G41" s="3"/>
      <c r="H41" s="3"/>
      <c r="I41" s="3"/>
      <c r="J41" s="3"/>
      <c r="K41" s="3"/>
      <c r="L41" s="3"/>
      <c r="M41" s="3"/>
      <c r="N41" s="3"/>
      <c r="O41" s="3"/>
      <c r="P41" s="3"/>
      <c r="Q41" s="3"/>
      <c r="R41" s="3"/>
      <c r="S41" s="3"/>
      <c r="T41" s="3"/>
      <c r="U41" s="3"/>
      <c r="V41" s="3"/>
      <c r="W41" s="3"/>
      <c r="X41" s="3"/>
      <c r="Y41" s="3"/>
      <c r="Z41" s="3"/>
      <c r="AA41" s="1"/>
    </row>
    <row r="42" spans="1:27" ht="12.75">
      <c r="A42" s="3"/>
      <c r="B42" s="3"/>
      <c r="C42" s="3"/>
      <c r="D42" s="3"/>
      <c r="E42" s="3"/>
      <c r="F42" s="3"/>
      <c r="G42" s="3"/>
      <c r="H42" s="3"/>
      <c r="I42" s="3"/>
      <c r="J42" s="3"/>
      <c r="K42" s="3"/>
      <c r="L42" s="3"/>
      <c r="M42" s="3"/>
      <c r="N42" s="3"/>
      <c r="O42" s="3"/>
      <c r="P42" s="3"/>
      <c r="Q42" s="3"/>
      <c r="R42" s="3"/>
      <c r="S42" s="3"/>
      <c r="T42" s="3"/>
      <c r="U42" s="3"/>
      <c r="V42" s="3"/>
      <c r="W42" s="3"/>
      <c r="X42" s="3"/>
      <c r="Y42" s="3"/>
      <c r="Z42" s="3"/>
      <c r="AA42" s="1"/>
    </row>
    <row r="43" spans="1:27" ht="12.75">
      <c r="A43" s="3"/>
      <c r="B43" s="3"/>
      <c r="C43" s="3"/>
      <c r="D43" s="3"/>
      <c r="E43" s="3"/>
      <c r="F43" s="3"/>
      <c r="G43" s="3"/>
      <c r="H43" s="3"/>
      <c r="I43" s="3"/>
      <c r="J43" s="3"/>
      <c r="K43" s="3"/>
      <c r="L43" s="3"/>
      <c r="M43" s="3"/>
      <c r="N43" s="3"/>
      <c r="O43" s="3"/>
      <c r="P43" s="3"/>
      <c r="Q43" s="3"/>
      <c r="R43" s="3"/>
      <c r="S43" s="3"/>
      <c r="T43" s="3"/>
      <c r="U43" s="3"/>
      <c r="V43" s="3"/>
      <c r="W43" s="3"/>
      <c r="X43" s="3"/>
      <c r="Y43" s="3"/>
      <c r="Z43" s="3"/>
      <c r="AA43" s="1"/>
    </row>
    <row r="44" spans="1:27" ht="12.75">
      <c r="A44" s="3"/>
      <c r="B44" s="3"/>
      <c r="C44" s="3"/>
      <c r="D44" s="3"/>
      <c r="E44" s="3"/>
      <c r="F44" s="3"/>
      <c r="G44" s="3"/>
      <c r="H44" s="3"/>
      <c r="I44" s="3"/>
      <c r="J44" s="3"/>
      <c r="K44" s="3"/>
      <c r="L44" s="3"/>
      <c r="M44" s="3"/>
      <c r="N44" s="3"/>
      <c r="O44" s="3"/>
      <c r="P44" s="3"/>
      <c r="Q44" s="3"/>
      <c r="R44" s="3"/>
      <c r="S44" s="3"/>
      <c r="T44" s="3"/>
      <c r="U44" s="3"/>
      <c r="V44" s="3"/>
      <c r="W44" s="3"/>
      <c r="X44" s="3"/>
      <c r="Y44" s="3"/>
      <c r="Z44" s="3"/>
      <c r="AA44" s="1"/>
    </row>
    <row r="45" spans="1:27" ht="12.75">
      <c r="A45" s="3"/>
      <c r="B45" s="3"/>
      <c r="C45" s="3"/>
      <c r="D45" s="3"/>
      <c r="E45" s="3"/>
      <c r="F45" s="3"/>
      <c r="G45" s="3"/>
      <c r="H45" s="3"/>
      <c r="I45" s="3"/>
      <c r="J45" s="3"/>
      <c r="K45" s="3"/>
      <c r="L45" s="3"/>
      <c r="M45" s="3"/>
      <c r="N45" s="3"/>
      <c r="O45" s="3"/>
      <c r="P45" s="3"/>
      <c r="Q45" s="3"/>
      <c r="R45" s="3"/>
      <c r="S45" s="3"/>
      <c r="T45" s="3"/>
      <c r="U45" s="3"/>
      <c r="V45" s="3"/>
      <c r="W45" s="3"/>
      <c r="X45" s="3"/>
      <c r="Y45" s="3"/>
      <c r="Z45" s="3"/>
      <c r="AA45" s="1"/>
    </row>
    <row r="46" spans="1:27" ht="12.75">
      <c r="A46" s="3"/>
      <c r="B46" s="3"/>
      <c r="C46" s="3"/>
      <c r="D46" s="3"/>
      <c r="E46" s="3"/>
      <c r="F46" s="3"/>
      <c r="G46" s="3"/>
      <c r="H46" s="3"/>
      <c r="I46" s="3"/>
      <c r="J46" s="3"/>
      <c r="K46" s="3"/>
      <c r="L46" s="3"/>
      <c r="M46" s="3"/>
      <c r="N46" s="3"/>
      <c r="O46" s="3"/>
      <c r="P46" s="3"/>
      <c r="Q46" s="3"/>
      <c r="R46" s="3"/>
      <c r="S46" s="3"/>
      <c r="T46" s="3"/>
      <c r="U46" s="3"/>
      <c r="V46" s="3"/>
      <c r="W46" s="3"/>
      <c r="X46" s="3"/>
      <c r="Y46" s="3"/>
      <c r="Z46" s="3"/>
      <c r="AA46" s="1"/>
    </row>
    <row r="47" spans="1:27" ht="12.75">
      <c r="A47" s="3"/>
      <c r="B47" s="3"/>
      <c r="C47" s="3"/>
      <c r="D47" s="3"/>
      <c r="E47" s="3"/>
      <c r="F47" s="3"/>
      <c r="G47" s="3"/>
      <c r="H47" s="3"/>
      <c r="I47" s="3"/>
      <c r="J47" s="3"/>
      <c r="K47" s="3"/>
      <c r="L47" s="3"/>
      <c r="M47" s="3"/>
      <c r="N47" s="3"/>
      <c r="O47" s="3"/>
      <c r="P47" s="3"/>
      <c r="Q47" s="3"/>
      <c r="R47" s="3"/>
      <c r="S47" s="3"/>
      <c r="T47" s="3"/>
      <c r="U47" s="3"/>
      <c r="V47" s="3"/>
      <c r="W47" s="3"/>
      <c r="X47" s="3"/>
      <c r="Y47" s="3"/>
      <c r="Z47" s="3"/>
      <c r="AA47" s="1"/>
    </row>
    <row r="48" spans="1:27" ht="12.75">
      <c r="A48" s="3"/>
      <c r="B48" s="3"/>
      <c r="C48" s="3"/>
      <c r="D48" s="3"/>
      <c r="E48" s="3"/>
      <c r="F48" s="3"/>
      <c r="G48" s="3"/>
      <c r="H48" s="3"/>
      <c r="I48" s="3"/>
      <c r="J48" s="3"/>
      <c r="K48" s="3"/>
      <c r="L48" s="3"/>
      <c r="M48" s="3"/>
      <c r="N48" s="3"/>
      <c r="O48" s="3"/>
      <c r="P48" s="3"/>
      <c r="Q48" s="3"/>
      <c r="R48" s="3"/>
      <c r="S48" s="3"/>
      <c r="T48" s="3"/>
      <c r="U48" s="3"/>
      <c r="V48" s="3"/>
      <c r="W48" s="3"/>
      <c r="X48" s="3"/>
      <c r="Y48" s="3"/>
      <c r="Z48" s="3"/>
      <c r="AA48" s="1"/>
    </row>
    <row r="49" spans="1:27" ht="12.75">
      <c r="A49" s="3"/>
      <c r="B49" s="3"/>
      <c r="C49" s="3"/>
      <c r="D49" s="3"/>
      <c r="E49" s="3"/>
      <c r="F49" s="3"/>
      <c r="G49" s="3"/>
      <c r="H49" s="3"/>
      <c r="I49" s="3"/>
      <c r="J49" s="3"/>
      <c r="K49" s="3"/>
      <c r="L49" s="3"/>
      <c r="M49" s="3"/>
      <c r="N49" s="3"/>
      <c r="O49" s="3"/>
      <c r="P49" s="3"/>
      <c r="Q49" s="3"/>
      <c r="R49" s="3"/>
      <c r="S49" s="3"/>
      <c r="T49" s="3"/>
      <c r="U49" s="3"/>
      <c r="V49" s="3"/>
      <c r="W49" s="3"/>
      <c r="X49" s="3"/>
      <c r="Y49" s="3"/>
      <c r="Z49" s="3"/>
      <c r="AA49" s="1"/>
    </row>
    <row r="50" spans="1:27" ht="12.75">
      <c r="A50" s="3"/>
      <c r="B50" s="3"/>
      <c r="C50" s="3"/>
      <c r="D50" s="3"/>
      <c r="E50" s="3"/>
      <c r="F50" s="3"/>
      <c r="G50" s="3"/>
      <c r="H50" s="3"/>
      <c r="I50" s="3"/>
      <c r="J50" s="3"/>
      <c r="K50" s="3"/>
      <c r="L50" s="3"/>
      <c r="M50" s="3"/>
      <c r="N50" s="3"/>
      <c r="O50" s="3"/>
      <c r="P50" s="3"/>
      <c r="Q50" s="3"/>
      <c r="R50" s="3"/>
      <c r="S50" s="3"/>
      <c r="T50" s="3"/>
      <c r="U50" s="3"/>
      <c r="V50" s="3"/>
      <c r="W50" s="3"/>
      <c r="X50" s="3"/>
      <c r="Y50" s="3"/>
      <c r="Z50" s="3"/>
      <c r="AA50" s="1"/>
    </row>
    <row r="51" spans="1:27" ht="12.75">
      <c r="A51" s="3"/>
      <c r="B51" s="3"/>
      <c r="C51" s="3"/>
      <c r="D51" s="3"/>
      <c r="E51" s="3"/>
      <c r="F51" s="3"/>
      <c r="G51" s="3"/>
      <c r="H51" s="3"/>
      <c r="I51" s="3"/>
      <c r="J51" s="3"/>
      <c r="K51" s="3"/>
      <c r="L51" s="3"/>
      <c r="M51" s="3"/>
      <c r="N51" s="3"/>
      <c r="O51" s="3"/>
      <c r="P51" s="3"/>
      <c r="Q51" s="3"/>
      <c r="R51" s="3"/>
      <c r="S51" s="3"/>
      <c r="T51" s="3"/>
      <c r="U51" s="3"/>
      <c r="V51" s="3"/>
      <c r="W51" s="3"/>
      <c r="X51" s="3"/>
      <c r="Y51" s="3"/>
      <c r="Z51" s="3"/>
      <c r="AA51" s="1"/>
    </row>
    <row r="52" spans="1:27" ht="12.75">
      <c r="A52" s="3"/>
      <c r="B52" s="3"/>
      <c r="C52" s="3"/>
      <c r="D52" s="3"/>
      <c r="E52" s="3"/>
      <c r="F52" s="3"/>
      <c r="G52" s="3"/>
      <c r="H52" s="3"/>
      <c r="I52" s="3"/>
      <c r="J52" s="3"/>
      <c r="K52" s="3"/>
      <c r="L52" s="3"/>
      <c r="M52" s="3"/>
      <c r="N52" s="3"/>
      <c r="O52" s="3"/>
      <c r="P52" s="3"/>
      <c r="Q52" s="3"/>
      <c r="R52" s="3"/>
      <c r="S52" s="3"/>
      <c r="T52" s="3"/>
      <c r="U52" s="3"/>
      <c r="V52" s="3"/>
      <c r="W52" s="3"/>
      <c r="X52" s="3"/>
      <c r="Y52" s="3"/>
      <c r="Z52" s="3"/>
      <c r="AA52" s="1"/>
    </row>
    <row r="53" spans="1:27" ht="12.75">
      <c r="A53" s="3"/>
      <c r="B53" s="3"/>
      <c r="C53" s="3"/>
      <c r="D53" s="3"/>
      <c r="E53" s="3"/>
      <c r="F53" s="3"/>
      <c r="G53" s="3"/>
      <c r="H53" s="3"/>
      <c r="I53" s="3"/>
      <c r="J53" s="3"/>
      <c r="K53" s="3"/>
      <c r="L53" s="3"/>
      <c r="M53" s="3"/>
      <c r="N53" s="3"/>
      <c r="O53" s="3"/>
      <c r="P53" s="3"/>
      <c r="Q53" s="3"/>
      <c r="R53" s="3"/>
      <c r="S53" s="3"/>
      <c r="T53" s="3"/>
      <c r="U53" s="3"/>
      <c r="V53" s="3"/>
      <c r="W53" s="3"/>
      <c r="X53" s="3"/>
      <c r="Y53" s="3"/>
      <c r="Z53" s="3"/>
      <c r="AA53" s="1"/>
    </row>
    <row r="54" spans="1:27" ht="12.75">
      <c r="A54" s="3"/>
      <c r="B54" s="3"/>
      <c r="C54" s="3"/>
      <c r="D54" s="3"/>
      <c r="E54" s="3"/>
      <c r="F54" s="3"/>
      <c r="G54" s="3"/>
      <c r="H54" s="3"/>
      <c r="I54" s="3"/>
      <c r="J54" s="3"/>
      <c r="K54" s="3"/>
      <c r="L54" s="3"/>
      <c r="M54" s="3"/>
      <c r="N54" s="3"/>
      <c r="O54" s="3"/>
      <c r="P54" s="3"/>
      <c r="Q54" s="3"/>
      <c r="R54" s="3"/>
      <c r="S54" s="3"/>
      <c r="T54" s="3"/>
      <c r="U54" s="3"/>
      <c r="V54" s="3"/>
      <c r="W54" s="3"/>
      <c r="X54" s="3"/>
      <c r="Y54" s="3"/>
      <c r="Z54" s="3"/>
      <c r="AA54" s="1"/>
    </row>
    <row r="55" spans="1:27" ht="12.75">
      <c r="A55" s="3"/>
      <c r="B55" s="3"/>
      <c r="C55" s="3"/>
      <c r="D55" s="3"/>
      <c r="E55" s="3"/>
      <c r="F55" s="3"/>
      <c r="G55" s="3"/>
      <c r="H55" s="3"/>
      <c r="I55" s="3"/>
      <c r="J55" s="3"/>
      <c r="K55" s="3"/>
      <c r="L55" s="3"/>
      <c r="M55" s="3"/>
      <c r="N55" s="3"/>
      <c r="O55" s="3"/>
      <c r="P55" s="3"/>
      <c r="Q55" s="3"/>
      <c r="R55" s="3"/>
      <c r="S55" s="3"/>
      <c r="T55" s="3"/>
      <c r="U55" s="3"/>
      <c r="V55" s="3"/>
      <c r="W55" s="3"/>
      <c r="X55" s="3"/>
      <c r="Y55" s="3"/>
      <c r="Z55" s="3"/>
      <c r="AA55" s="1"/>
    </row>
    <row r="56" spans="1:27" ht="12.75">
      <c r="A56" s="3"/>
      <c r="B56" s="3"/>
      <c r="C56" s="3"/>
      <c r="D56" s="3"/>
      <c r="E56" s="3"/>
      <c r="F56" s="3"/>
      <c r="G56" s="3"/>
      <c r="H56" s="3"/>
      <c r="I56" s="3"/>
      <c r="J56" s="3"/>
      <c r="K56" s="3"/>
      <c r="L56" s="3"/>
      <c r="M56" s="3"/>
      <c r="N56" s="3"/>
      <c r="O56" s="3"/>
      <c r="P56" s="3"/>
      <c r="Q56" s="3"/>
      <c r="R56" s="3"/>
      <c r="S56" s="3"/>
      <c r="T56" s="3"/>
      <c r="U56" s="3"/>
      <c r="V56" s="3"/>
      <c r="W56" s="3"/>
      <c r="X56" s="3"/>
      <c r="Y56" s="3"/>
      <c r="Z56" s="3"/>
      <c r="AA56" s="1"/>
    </row>
    <row r="57" spans="1:27" ht="12.75">
      <c r="A57" s="3"/>
      <c r="B57" s="3"/>
      <c r="C57" s="3"/>
      <c r="D57" s="3"/>
      <c r="E57" s="3"/>
      <c r="F57" s="3"/>
      <c r="G57" s="3"/>
      <c r="H57" s="3"/>
      <c r="I57" s="3"/>
      <c r="J57" s="3"/>
      <c r="K57" s="3"/>
      <c r="L57" s="3"/>
      <c r="M57" s="3"/>
      <c r="N57" s="3"/>
      <c r="O57" s="3"/>
      <c r="P57" s="3"/>
      <c r="Q57" s="3"/>
      <c r="R57" s="3"/>
      <c r="S57" s="3"/>
      <c r="T57" s="3"/>
      <c r="U57" s="3"/>
      <c r="V57" s="3"/>
      <c r="W57" s="3"/>
      <c r="X57" s="3"/>
      <c r="Y57" s="3"/>
      <c r="Z57" s="3"/>
      <c r="AA57" s="1"/>
    </row>
    <row r="58" spans="1:27" ht="12.75">
      <c r="A58" s="3"/>
      <c r="B58" s="3"/>
      <c r="C58" s="3"/>
      <c r="D58" s="3"/>
      <c r="E58" s="3"/>
      <c r="F58" s="3"/>
      <c r="G58" s="3"/>
      <c r="H58" s="3"/>
      <c r="I58" s="3"/>
      <c r="J58" s="3"/>
      <c r="K58" s="3"/>
      <c r="L58" s="3"/>
      <c r="M58" s="3"/>
      <c r="N58" s="3"/>
      <c r="O58" s="3"/>
      <c r="P58" s="3"/>
      <c r="Q58" s="3"/>
      <c r="R58" s="3"/>
      <c r="S58" s="3"/>
      <c r="T58" s="3"/>
      <c r="U58" s="3"/>
      <c r="V58" s="3"/>
      <c r="W58" s="3"/>
      <c r="X58" s="3"/>
      <c r="Y58" s="3"/>
      <c r="Z58" s="3"/>
      <c r="AA58" s="1"/>
    </row>
    <row r="59" spans="1:27" ht="12.75">
      <c r="A59" s="3"/>
      <c r="B59" s="3"/>
      <c r="C59" s="3"/>
      <c r="D59" s="3"/>
      <c r="E59" s="3"/>
      <c r="F59" s="3"/>
      <c r="G59" s="3"/>
      <c r="H59" s="3"/>
      <c r="I59" s="3"/>
      <c r="J59" s="3"/>
      <c r="K59" s="3"/>
      <c r="L59" s="3"/>
      <c r="M59" s="3"/>
      <c r="N59" s="3"/>
      <c r="O59" s="3"/>
      <c r="P59" s="3"/>
      <c r="Q59" s="3"/>
      <c r="R59" s="3"/>
      <c r="S59" s="3"/>
      <c r="T59" s="3"/>
      <c r="U59" s="3"/>
      <c r="V59" s="3"/>
      <c r="W59" s="3"/>
      <c r="X59" s="3"/>
      <c r="Y59" s="3"/>
      <c r="Z59" s="3"/>
      <c r="AA59" s="1"/>
    </row>
    <row r="60" spans="1:27" ht="12.75">
      <c r="A60" s="3"/>
      <c r="B60" s="3"/>
      <c r="C60" s="3"/>
      <c r="D60" s="3"/>
      <c r="E60" s="3"/>
      <c r="F60" s="3"/>
      <c r="G60" s="3"/>
      <c r="H60" s="3"/>
      <c r="I60" s="3"/>
      <c r="J60" s="3"/>
      <c r="K60" s="3"/>
      <c r="L60" s="3"/>
      <c r="M60" s="3"/>
      <c r="N60" s="3"/>
      <c r="O60" s="3"/>
      <c r="P60" s="3"/>
      <c r="Q60" s="3"/>
      <c r="R60" s="3"/>
      <c r="S60" s="3"/>
      <c r="T60" s="3"/>
      <c r="U60" s="3"/>
      <c r="V60" s="3"/>
      <c r="W60" s="3"/>
      <c r="X60" s="3"/>
      <c r="Y60" s="3"/>
      <c r="Z60" s="3"/>
      <c r="AA60" s="1"/>
    </row>
    <row r="61" spans="1:27" ht="12.75">
      <c r="A61" s="3"/>
      <c r="B61" s="3"/>
      <c r="C61" s="3"/>
      <c r="D61" s="3"/>
      <c r="E61" s="3"/>
      <c r="F61" s="3"/>
      <c r="G61" s="3"/>
      <c r="H61" s="3"/>
      <c r="I61" s="3"/>
      <c r="J61" s="3"/>
      <c r="K61" s="3"/>
      <c r="L61" s="3"/>
      <c r="M61" s="3"/>
      <c r="N61" s="3"/>
      <c r="O61" s="3"/>
      <c r="P61" s="3"/>
      <c r="Q61" s="3"/>
      <c r="R61" s="3"/>
      <c r="S61" s="3"/>
      <c r="T61" s="3"/>
      <c r="U61" s="3"/>
      <c r="V61" s="3"/>
      <c r="W61" s="3"/>
      <c r="X61" s="3"/>
      <c r="Y61" s="3"/>
      <c r="Z61" s="3"/>
      <c r="AA61" s="1"/>
    </row>
    <row r="62" spans="1:27" ht="12.75">
      <c r="A62" s="3"/>
      <c r="B62" s="3"/>
      <c r="C62" s="3"/>
      <c r="D62" s="3"/>
      <c r="E62" s="3"/>
      <c r="F62" s="3"/>
      <c r="G62" s="3"/>
      <c r="H62" s="3"/>
      <c r="I62" s="3"/>
      <c r="J62" s="3"/>
      <c r="K62" s="3"/>
      <c r="L62" s="3"/>
      <c r="M62" s="3"/>
      <c r="N62" s="3"/>
      <c r="O62" s="3"/>
      <c r="P62" s="3"/>
      <c r="Q62" s="3"/>
      <c r="R62" s="3"/>
      <c r="S62" s="3"/>
      <c r="T62" s="3"/>
      <c r="U62" s="3"/>
      <c r="V62" s="3"/>
      <c r="W62" s="3"/>
      <c r="X62" s="3"/>
      <c r="Y62" s="3"/>
      <c r="Z62" s="3"/>
      <c r="AA62" s="1"/>
    </row>
    <row r="63" spans="1:27" ht="12.75">
      <c r="A63" s="3"/>
      <c r="B63" s="3"/>
      <c r="C63" s="3"/>
      <c r="D63" s="3"/>
      <c r="E63" s="3"/>
      <c r="F63" s="3"/>
      <c r="G63" s="3"/>
      <c r="H63" s="3"/>
      <c r="I63" s="3"/>
      <c r="J63" s="3"/>
      <c r="K63" s="3"/>
      <c r="L63" s="3"/>
      <c r="M63" s="3"/>
      <c r="N63" s="3"/>
      <c r="O63" s="3"/>
      <c r="P63" s="3"/>
      <c r="Q63" s="3"/>
      <c r="R63" s="3"/>
      <c r="S63" s="3"/>
      <c r="T63" s="3"/>
      <c r="U63" s="3"/>
      <c r="V63" s="3"/>
      <c r="W63" s="3"/>
      <c r="X63" s="3"/>
      <c r="Y63" s="3"/>
      <c r="Z63" s="3"/>
      <c r="AA63" s="1"/>
    </row>
    <row r="64" spans="1:27" ht="12.75">
      <c r="A64" s="3"/>
      <c r="B64" s="3"/>
      <c r="C64" s="3"/>
      <c r="D64" s="3"/>
      <c r="E64" s="3"/>
      <c r="F64" s="3"/>
      <c r="G64" s="3"/>
      <c r="H64" s="3"/>
      <c r="I64" s="3"/>
      <c r="J64" s="3"/>
      <c r="K64" s="3"/>
      <c r="L64" s="3"/>
      <c r="M64" s="3"/>
      <c r="N64" s="3"/>
      <c r="O64" s="3"/>
      <c r="P64" s="3"/>
      <c r="Q64" s="3"/>
      <c r="R64" s="3"/>
      <c r="S64" s="3"/>
      <c r="T64" s="3"/>
      <c r="U64" s="3"/>
      <c r="V64" s="3"/>
      <c r="W64" s="3"/>
      <c r="X64" s="3"/>
      <c r="Y64" s="3"/>
      <c r="Z64" s="3"/>
      <c r="AA64" s="1"/>
    </row>
    <row r="65" spans="1:27" ht="12.75">
      <c r="A65" s="3"/>
      <c r="B65" s="3"/>
      <c r="C65" s="3"/>
      <c r="D65" s="3"/>
      <c r="E65" s="3"/>
      <c r="F65" s="3"/>
      <c r="G65" s="3"/>
      <c r="H65" s="3"/>
      <c r="I65" s="3"/>
      <c r="J65" s="3"/>
      <c r="K65" s="3"/>
      <c r="L65" s="3"/>
      <c r="M65" s="3"/>
      <c r="N65" s="3"/>
      <c r="O65" s="3"/>
      <c r="P65" s="3"/>
      <c r="Q65" s="3"/>
      <c r="R65" s="3"/>
      <c r="S65" s="3"/>
      <c r="T65" s="3"/>
      <c r="U65" s="3"/>
      <c r="V65" s="3"/>
      <c r="W65" s="3"/>
      <c r="X65" s="3"/>
      <c r="Y65" s="3"/>
      <c r="Z65" s="3"/>
      <c r="AA65" s="1"/>
    </row>
    <row r="66" spans="1:27" ht="12.75">
      <c r="A66" s="3"/>
      <c r="B66" s="3"/>
      <c r="C66" s="3"/>
      <c r="D66" s="3"/>
      <c r="E66" s="3"/>
      <c r="F66" s="3"/>
      <c r="G66" s="3"/>
      <c r="H66" s="3"/>
      <c r="I66" s="3"/>
      <c r="J66" s="3"/>
      <c r="K66" s="3"/>
      <c r="L66" s="3"/>
      <c r="M66" s="3"/>
      <c r="N66" s="3"/>
      <c r="O66" s="3"/>
      <c r="P66" s="3"/>
      <c r="Q66" s="3"/>
      <c r="R66" s="3"/>
      <c r="S66" s="3"/>
      <c r="T66" s="3"/>
      <c r="U66" s="3"/>
      <c r="V66" s="3"/>
      <c r="W66" s="3"/>
      <c r="X66" s="3"/>
      <c r="Y66" s="3"/>
      <c r="Z66" s="3"/>
      <c r="AA66" s="1"/>
    </row>
    <row r="67" spans="1:27" ht="12.75">
      <c r="A67" s="3"/>
      <c r="B67" s="3"/>
      <c r="C67" s="3"/>
      <c r="D67" s="3"/>
      <c r="E67" s="3"/>
      <c r="F67" s="3"/>
      <c r="G67" s="3"/>
      <c r="H67" s="3"/>
      <c r="I67" s="3"/>
      <c r="J67" s="3"/>
      <c r="K67" s="3"/>
      <c r="L67" s="3"/>
      <c r="M67" s="3"/>
      <c r="N67" s="3"/>
      <c r="O67" s="3"/>
      <c r="P67" s="3"/>
      <c r="Q67" s="3"/>
      <c r="R67" s="3"/>
      <c r="S67" s="3"/>
      <c r="T67" s="3"/>
      <c r="U67" s="3"/>
      <c r="V67" s="3"/>
      <c r="W67" s="3"/>
      <c r="X67" s="3"/>
      <c r="Y67" s="3"/>
      <c r="Z67" s="3"/>
      <c r="AA67" s="1"/>
    </row>
    <row r="68" spans="1:27" ht="12.75">
      <c r="A68" s="3"/>
      <c r="B68" s="3"/>
      <c r="C68" s="3"/>
      <c r="D68" s="3"/>
      <c r="E68" s="3"/>
      <c r="F68" s="3"/>
      <c r="G68" s="3"/>
      <c r="H68" s="3"/>
      <c r="I68" s="3"/>
      <c r="J68" s="3"/>
      <c r="K68" s="3"/>
      <c r="L68" s="3"/>
      <c r="M68" s="3"/>
      <c r="N68" s="3"/>
      <c r="O68" s="3"/>
      <c r="P68" s="3"/>
      <c r="Q68" s="3"/>
      <c r="R68" s="3"/>
      <c r="S68" s="3"/>
      <c r="T68" s="3"/>
      <c r="U68" s="3"/>
      <c r="V68" s="3"/>
      <c r="W68" s="3"/>
      <c r="X68" s="3"/>
      <c r="Y68" s="3"/>
      <c r="Z68" s="3"/>
      <c r="AA68" s="1"/>
    </row>
    <row r="69" spans="1:27" ht="12.75">
      <c r="A69" s="3"/>
      <c r="B69" s="3"/>
      <c r="C69" s="3"/>
      <c r="D69" s="3"/>
      <c r="E69" s="3"/>
      <c r="F69" s="3"/>
      <c r="G69" s="3"/>
      <c r="H69" s="3"/>
      <c r="I69" s="3"/>
      <c r="J69" s="3"/>
      <c r="K69" s="3"/>
      <c r="L69" s="3"/>
      <c r="M69" s="3"/>
      <c r="N69" s="3"/>
      <c r="O69" s="3"/>
      <c r="P69" s="3"/>
      <c r="Q69" s="3"/>
      <c r="R69" s="3"/>
      <c r="S69" s="3"/>
      <c r="T69" s="3"/>
      <c r="U69" s="3"/>
      <c r="V69" s="3"/>
      <c r="W69" s="3"/>
      <c r="X69" s="3"/>
      <c r="Y69" s="3"/>
      <c r="Z69" s="3"/>
      <c r="AA69" s="1"/>
    </row>
    <row r="70" spans="1:27" ht="12.75">
      <c r="A70" s="3"/>
      <c r="B70" s="3"/>
      <c r="C70" s="3"/>
      <c r="D70" s="3"/>
      <c r="E70" s="3"/>
      <c r="F70" s="3"/>
      <c r="G70" s="3"/>
      <c r="H70" s="3"/>
      <c r="I70" s="3"/>
      <c r="J70" s="3"/>
      <c r="K70" s="3"/>
      <c r="L70" s="3"/>
      <c r="M70" s="3"/>
      <c r="N70" s="3"/>
      <c r="O70" s="3"/>
      <c r="P70" s="3"/>
      <c r="Q70" s="3"/>
      <c r="R70" s="3"/>
      <c r="S70" s="3"/>
      <c r="T70" s="3"/>
      <c r="U70" s="3"/>
      <c r="V70" s="3"/>
      <c r="W70" s="3"/>
      <c r="X70" s="3"/>
      <c r="Y70" s="3"/>
      <c r="Z70" s="3"/>
      <c r="AA70" s="1"/>
    </row>
    <row r="71" spans="1:27" ht="12.75">
      <c r="A71" s="3"/>
      <c r="B71" s="3"/>
      <c r="C71" s="3"/>
      <c r="D71" s="3"/>
      <c r="E71" s="3"/>
      <c r="F71" s="3"/>
      <c r="G71" s="3"/>
      <c r="H71" s="3"/>
      <c r="I71" s="3"/>
      <c r="J71" s="3"/>
      <c r="K71" s="3"/>
      <c r="L71" s="3"/>
      <c r="M71" s="3"/>
      <c r="N71" s="3"/>
      <c r="O71" s="3"/>
      <c r="P71" s="3"/>
      <c r="Q71" s="3"/>
      <c r="R71" s="3"/>
      <c r="S71" s="3"/>
      <c r="T71" s="3"/>
      <c r="U71" s="3"/>
      <c r="V71" s="3"/>
      <c r="W71" s="3"/>
      <c r="X71" s="3"/>
      <c r="Y71" s="3"/>
      <c r="Z71" s="3"/>
      <c r="AA71" s="1"/>
    </row>
    <row r="72" spans="1:27" ht="12.75">
      <c r="A72" s="3"/>
      <c r="B72" s="3"/>
      <c r="C72" s="3"/>
      <c r="D72" s="3"/>
      <c r="E72" s="3"/>
      <c r="F72" s="3"/>
      <c r="G72" s="3"/>
      <c r="H72" s="3"/>
      <c r="I72" s="3"/>
      <c r="J72" s="3"/>
      <c r="K72" s="3"/>
      <c r="L72" s="3"/>
      <c r="M72" s="3"/>
      <c r="N72" s="3"/>
      <c r="O72" s="3"/>
      <c r="P72" s="3"/>
      <c r="Q72" s="3"/>
      <c r="R72" s="3"/>
      <c r="S72" s="3"/>
      <c r="T72" s="3"/>
      <c r="U72" s="3"/>
      <c r="V72" s="3"/>
      <c r="W72" s="3"/>
      <c r="X72" s="3"/>
      <c r="Y72" s="3"/>
      <c r="Z72" s="3"/>
      <c r="AA72" s="1"/>
    </row>
    <row r="73" spans="1:27" ht="12.75">
      <c r="A73" s="3"/>
      <c r="B73" s="3"/>
      <c r="C73" s="3"/>
      <c r="D73" s="3"/>
      <c r="E73" s="3"/>
      <c r="F73" s="3"/>
      <c r="G73" s="3"/>
      <c r="H73" s="3"/>
      <c r="I73" s="3"/>
      <c r="J73" s="3"/>
      <c r="K73" s="3"/>
      <c r="L73" s="3"/>
      <c r="M73" s="3"/>
      <c r="N73" s="3"/>
      <c r="O73" s="3"/>
      <c r="P73" s="3"/>
      <c r="Q73" s="3"/>
      <c r="R73" s="3"/>
      <c r="S73" s="3"/>
      <c r="T73" s="3"/>
      <c r="U73" s="3"/>
      <c r="V73" s="3"/>
      <c r="W73" s="3"/>
      <c r="X73" s="3"/>
      <c r="Y73" s="3"/>
      <c r="Z73" s="3"/>
      <c r="AA73" s="1"/>
    </row>
    <row r="74" spans="1:27" ht="12.75">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
    </row>
    <row r="75" spans="1:27" ht="12.75">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
    </row>
    <row r="76" spans="1:27" ht="12.75">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
    </row>
    <row r="77" spans="1:27" ht="12.75">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
    </row>
    <row r="78" spans="1:27" ht="12.75">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
    </row>
    <row r="79" spans="1:27" ht="12.75">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
    </row>
    <row r="80" spans="1:27" ht="12.75">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
    </row>
    <row r="81" spans="1:27" ht="12.75">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
    </row>
    <row r="82" spans="1:27" ht="12.75">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
    </row>
    <row r="83" spans="1:27" ht="12.75">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
    </row>
    <row r="84" spans="1:27" ht="12.75">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
    </row>
    <row r="85" spans="1:27" ht="12.7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 r="A102" s="1"/>
      <c r="B102" s="1"/>
      <c r="C102" s="1"/>
      <c r="D102" s="1"/>
      <c r="E102" s="1"/>
      <c r="F102" s="1"/>
      <c r="G102" s="180"/>
      <c r="H102" s="1"/>
      <c r="I102" s="1"/>
      <c r="J102" s="1"/>
      <c r="K102" s="1"/>
      <c r="L102" s="1"/>
      <c r="M102" s="1"/>
      <c r="N102" s="1"/>
      <c r="O102" s="1"/>
      <c r="P102" s="1"/>
      <c r="Q102" s="1"/>
      <c r="R102" s="1"/>
      <c r="S102" s="1"/>
      <c r="T102" s="1"/>
      <c r="U102" s="1"/>
      <c r="V102" s="1"/>
      <c r="W102" s="1"/>
      <c r="X102" s="1"/>
      <c r="Y102" s="1"/>
      <c r="Z102" s="1"/>
      <c r="AA102" s="1"/>
    </row>
    <row r="103" spans="1:27" ht="12.75">
      <c r="A103" s="1"/>
      <c r="B103" s="1"/>
      <c r="C103" s="1"/>
      <c r="D103" s="1"/>
      <c r="E103" s="1"/>
      <c r="F103" s="1"/>
      <c r="G103" s="180"/>
      <c r="H103" s="1"/>
      <c r="I103" s="1"/>
      <c r="J103" s="1"/>
      <c r="K103" s="1"/>
      <c r="L103" s="1"/>
      <c r="M103" s="1"/>
      <c r="N103" s="1"/>
      <c r="O103" s="1"/>
      <c r="P103" s="1"/>
      <c r="Q103" s="1"/>
      <c r="R103" s="1"/>
      <c r="S103" s="1"/>
      <c r="T103" s="1"/>
      <c r="U103" s="1"/>
      <c r="V103" s="1"/>
      <c r="W103" s="1"/>
      <c r="X103" s="1"/>
      <c r="Y103" s="1"/>
      <c r="Z103" s="1"/>
      <c r="AA103" s="1"/>
    </row>
    <row r="104" spans="1:27" ht="12.75">
      <c r="A104" s="1"/>
      <c r="B104" s="1"/>
      <c r="C104" s="1"/>
      <c r="D104" s="1"/>
      <c r="E104" s="1"/>
      <c r="F104" s="1"/>
      <c r="G104" s="180"/>
      <c r="H104" s="1"/>
      <c r="I104" s="1"/>
      <c r="J104" s="1"/>
      <c r="K104" s="1"/>
      <c r="L104" s="1"/>
      <c r="M104" s="1"/>
      <c r="N104" s="1"/>
      <c r="O104" s="1"/>
      <c r="P104" s="1"/>
      <c r="Q104" s="1"/>
      <c r="R104" s="1"/>
      <c r="S104" s="1"/>
      <c r="T104" s="1"/>
      <c r="U104" s="1"/>
      <c r="V104" s="1"/>
      <c r="W104" s="1"/>
      <c r="X104" s="1"/>
      <c r="Y104" s="1"/>
      <c r="Z104" s="1"/>
      <c r="AA104" s="1"/>
    </row>
    <row r="105" spans="1:27" ht="12.75">
      <c r="A105" s="1"/>
      <c r="B105" s="1"/>
      <c r="C105" s="1"/>
      <c r="D105" s="1"/>
      <c r="E105" s="1"/>
      <c r="F105" s="1"/>
      <c r="G105" s="180"/>
      <c r="H105" s="1"/>
      <c r="I105" s="1"/>
      <c r="J105" s="1"/>
      <c r="K105" s="1"/>
      <c r="L105" s="1"/>
      <c r="M105" s="1"/>
      <c r="N105" s="1"/>
      <c r="O105" s="1"/>
      <c r="P105" s="1"/>
      <c r="Q105" s="1"/>
      <c r="R105" s="1"/>
      <c r="S105" s="1"/>
      <c r="T105" s="1"/>
      <c r="U105" s="1"/>
      <c r="V105" s="1"/>
      <c r="W105" s="1"/>
      <c r="X105" s="1"/>
      <c r="Y105" s="1"/>
      <c r="Z105" s="1"/>
      <c r="AA105" s="1"/>
    </row>
    <row r="106" spans="1:27" ht="12.75">
      <c r="A106" s="1"/>
      <c r="B106" s="1"/>
      <c r="C106" s="1"/>
      <c r="D106" s="1"/>
      <c r="E106" s="1"/>
      <c r="F106" s="1"/>
      <c r="G106" s="180"/>
      <c r="H106" s="1"/>
      <c r="I106" s="1"/>
      <c r="J106" s="1"/>
      <c r="K106" s="1"/>
      <c r="L106" s="1"/>
      <c r="M106" s="1"/>
      <c r="N106" s="1"/>
      <c r="O106" s="1"/>
      <c r="P106" s="1"/>
      <c r="Q106" s="1"/>
      <c r="R106" s="1"/>
      <c r="S106" s="1"/>
      <c r="T106" s="1"/>
      <c r="U106" s="1"/>
      <c r="V106" s="1"/>
      <c r="W106" s="1"/>
      <c r="X106" s="1"/>
      <c r="Y106" s="1"/>
      <c r="Z106" s="1"/>
      <c r="AA106" s="1"/>
    </row>
    <row r="107" spans="1:27"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sheetData>
  <sheetProtection password="9C19" sheet="1" objects="1" scenarios="1" selectLockedCells="1"/>
  <mergeCells count="6">
    <mergeCell ref="X6:Y7"/>
    <mergeCell ref="X21:Y25"/>
    <mergeCell ref="X26:Y29"/>
    <mergeCell ref="X12:Y14"/>
    <mergeCell ref="X15:Y17"/>
    <mergeCell ref="X18:Y20"/>
  </mergeCells>
  <conditionalFormatting sqref="G31 M31 S31 G19 M19 S19 G15:G17 M21 S21 M15:M17 S15:S17 S29 G23 M23 S23 G25 M25 S25 G27 M27 S27 G29 M29">
    <cfRule type="cellIs" priority="1" dxfId="2" operator="equal" stopIfTrue="1">
      <formula>0</formula>
    </cfRule>
  </conditionalFormatting>
  <conditionalFormatting sqref="G21">
    <cfRule type="cellIs" priority="2" dxfId="11" operator="equal" stopIfTrue="1">
      <formula>0</formula>
    </cfRule>
  </conditionalFormatting>
  <printOptions/>
  <pageMargins left="0.75" right="0.75" top="1" bottom="1" header="0.4921259845" footer="0.492125984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Feuil3"/>
  <dimension ref="A1:AA179"/>
  <sheetViews>
    <sheetView showGridLines="0" zoomScalePageLayoutView="0" workbookViewId="0" topLeftCell="A1">
      <selection activeCell="J38" sqref="J38"/>
    </sheetView>
  </sheetViews>
  <sheetFormatPr defaultColWidth="11.421875" defaultRowHeight="12.75"/>
  <cols>
    <col min="1" max="1" width="3.7109375" style="0" customWidth="1"/>
    <col min="2" max="2" width="1.7109375" style="0" customWidth="1"/>
    <col min="3" max="3" width="11.7109375" style="0" customWidth="1"/>
    <col min="4" max="4" width="14.7109375" style="0" customWidth="1"/>
    <col min="5" max="5" width="4.7109375" style="0" customWidth="1"/>
    <col min="6" max="6" width="2.28125" style="0" customWidth="1"/>
    <col min="7" max="7" width="7.7109375" style="0" customWidth="1"/>
    <col min="8" max="8" width="2.28125" style="0" customWidth="1"/>
    <col min="9" max="9" width="1.7109375" style="0" customWidth="1"/>
    <col min="10" max="10" width="4.28125" style="0" customWidth="1"/>
    <col min="11" max="11" width="1.7109375" style="0" customWidth="1"/>
    <col min="12" max="12" width="2.28125" style="0" customWidth="1"/>
    <col min="13" max="13" width="7.7109375" style="0" customWidth="1"/>
    <col min="14" max="14" width="2.28125" style="0" customWidth="1"/>
    <col min="15" max="15" width="1.7109375" style="0" customWidth="1"/>
    <col min="16" max="16" width="4.28125" style="0" customWidth="1"/>
    <col min="17" max="17" width="1.7109375" style="0" customWidth="1"/>
    <col min="18" max="18" width="2.28125" style="0" customWidth="1"/>
    <col min="19" max="19" width="7.7109375" style="0" customWidth="1"/>
    <col min="20" max="20" width="2.28125" style="0" customWidth="1"/>
    <col min="21" max="21" width="1.7109375" style="0" customWidth="1"/>
    <col min="22" max="22" width="2.28125" style="0" customWidth="1"/>
    <col min="23" max="23" width="1.7109375" style="0" customWidth="1"/>
    <col min="24" max="24" width="45.7109375" style="0" customWidth="1"/>
    <col min="26" max="27" width="100.7109375" style="0" customWidth="1"/>
  </cols>
  <sheetData>
    <row r="1" spans="1:27" ht="12.75">
      <c r="A1" s="3"/>
      <c r="B1" s="3"/>
      <c r="C1" s="3"/>
      <c r="D1" s="3"/>
      <c r="E1" s="3"/>
      <c r="F1" s="3"/>
      <c r="G1" s="3"/>
      <c r="H1" s="3"/>
      <c r="I1" s="3"/>
      <c r="J1" s="3"/>
      <c r="K1" s="3"/>
      <c r="L1" s="3"/>
      <c r="M1" s="3"/>
      <c r="N1" s="3"/>
      <c r="O1" s="3"/>
      <c r="P1" s="3"/>
      <c r="Q1" s="3"/>
      <c r="R1" s="3"/>
      <c r="S1" s="3"/>
      <c r="T1" s="3"/>
      <c r="U1" s="3"/>
      <c r="V1" s="3"/>
      <c r="W1" s="3"/>
      <c r="X1" s="3"/>
      <c r="Y1" s="1"/>
      <c r="Z1" s="55"/>
      <c r="AA1" s="55"/>
    </row>
    <row r="2" spans="1:27" ht="14.25">
      <c r="A2" s="3"/>
      <c r="B2" s="3"/>
      <c r="C2" s="3"/>
      <c r="D2" s="3"/>
      <c r="E2" s="3"/>
      <c r="F2" s="3"/>
      <c r="G2" s="3"/>
      <c r="H2" s="3"/>
      <c r="I2" s="3"/>
      <c r="J2" s="3"/>
      <c r="K2" s="3"/>
      <c r="L2" s="3"/>
      <c r="M2" s="4" t="s">
        <v>289</v>
      </c>
      <c r="N2" s="3"/>
      <c r="O2" s="3"/>
      <c r="P2" s="3"/>
      <c r="Q2" s="3"/>
      <c r="R2" s="3"/>
      <c r="S2" s="3"/>
      <c r="T2" s="3"/>
      <c r="U2" s="3"/>
      <c r="V2" s="3"/>
      <c r="W2" s="5"/>
      <c r="X2" s="3"/>
      <c r="Y2" s="1"/>
      <c r="Z2" s="55"/>
      <c r="AA2" s="55"/>
    </row>
    <row r="3" spans="1:27" ht="18" customHeight="1">
      <c r="A3" s="3"/>
      <c r="B3" s="3"/>
      <c r="C3" s="3"/>
      <c r="D3" s="3"/>
      <c r="E3" s="3"/>
      <c r="F3" s="3"/>
      <c r="G3" s="3"/>
      <c r="H3" s="3"/>
      <c r="I3" s="3"/>
      <c r="J3" s="3"/>
      <c r="K3" s="3"/>
      <c r="L3" s="3"/>
      <c r="M3" s="379" t="s">
        <v>288</v>
      </c>
      <c r="N3" s="3"/>
      <c r="O3" s="3"/>
      <c r="P3" s="3"/>
      <c r="Q3" s="3"/>
      <c r="R3" s="3"/>
      <c r="S3" s="3"/>
      <c r="T3" s="3"/>
      <c r="U3" s="3"/>
      <c r="V3" s="3"/>
      <c r="W3" s="5"/>
      <c r="X3" s="3"/>
      <c r="Y3" s="1"/>
      <c r="Z3" s="55"/>
      <c r="AA3" s="55"/>
    </row>
    <row r="4" spans="1:27" ht="9.75" customHeight="1">
      <c r="A4" s="354"/>
      <c r="B4" s="354"/>
      <c r="C4" s="355" t="s">
        <v>82</v>
      </c>
      <c r="D4" s="5"/>
      <c r="E4" s="3"/>
      <c r="F4" s="3"/>
      <c r="G4" s="3"/>
      <c r="H4" s="3"/>
      <c r="I4" s="3"/>
      <c r="J4" s="3"/>
      <c r="K4" s="3"/>
      <c r="L4" s="3"/>
      <c r="M4" s="3"/>
      <c r="N4" s="3"/>
      <c r="O4" s="3"/>
      <c r="P4" s="3"/>
      <c r="Q4" s="3"/>
      <c r="R4" s="3"/>
      <c r="S4" s="3"/>
      <c r="T4" s="3"/>
      <c r="U4" s="3"/>
      <c r="V4" s="3"/>
      <c r="W4" s="5"/>
      <c r="X4" s="3"/>
      <c r="Y4" s="1"/>
      <c r="Z4" s="55"/>
      <c r="AA4" s="55"/>
    </row>
    <row r="5" spans="1:27" ht="15" customHeight="1">
      <c r="A5" s="354"/>
      <c r="B5" s="354"/>
      <c r="C5" s="355" t="s">
        <v>85</v>
      </c>
      <c r="D5" s="5"/>
      <c r="E5" s="3"/>
      <c r="F5" s="3"/>
      <c r="G5" s="3"/>
      <c r="H5" s="3"/>
      <c r="I5" s="3"/>
      <c r="J5" s="3"/>
      <c r="K5" s="3"/>
      <c r="L5" s="3"/>
      <c r="M5" s="3"/>
      <c r="N5" s="3"/>
      <c r="O5" s="3"/>
      <c r="P5" s="3"/>
      <c r="Q5" s="3"/>
      <c r="R5" s="3"/>
      <c r="S5" s="3"/>
      <c r="T5" s="3"/>
      <c r="U5" s="3"/>
      <c r="V5" s="3"/>
      <c r="W5" s="5"/>
      <c r="X5" s="304" t="s">
        <v>96</v>
      </c>
      <c r="Y5" s="1"/>
      <c r="Z5" s="55"/>
      <c r="AA5" s="55"/>
    </row>
    <row r="6" spans="1:27" ht="7.5" customHeight="1">
      <c r="A6" s="354"/>
      <c r="B6" s="354"/>
      <c r="C6" s="355" t="s">
        <v>86</v>
      </c>
      <c r="D6" s="5"/>
      <c r="E6" s="7"/>
      <c r="F6" s="7"/>
      <c r="G6" s="7"/>
      <c r="H6" s="7"/>
      <c r="I6" s="7"/>
      <c r="J6" s="3"/>
      <c r="K6" s="7"/>
      <c r="L6" s="7"/>
      <c r="M6" s="7"/>
      <c r="N6" s="7"/>
      <c r="O6" s="7"/>
      <c r="P6" s="3"/>
      <c r="Q6" s="7"/>
      <c r="R6" s="7"/>
      <c r="S6" s="7"/>
      <c r="T6" s="7"/>
      <c r="U6" s="7"/>
      <c r="V6" s="3"/>
      <c r="W6" s="5"/>
      <c r="X6" s="3"/>
      <c r="Y6" s="1"/>
      <c r="Z6" s="55"/>
      <c r="AA6" s="55"/>
    </row>
    <row r="7" spans="1:27" ht="12.75">
      <c r="A7" s="354"/>
      <c r="B7" s="354"/>
      <c r="C7" s="355" t="s">
        <v>83</v>
      </c>
      <c r="D7" s="5"/>
      <c r="E7" s="7"/>
      <c r="F7" s="7"/>
      <c r="G7" s="142" t="s">
        <v>386</v>
      </c>
      <c r="H7" s="7"/>
      <c r="I7" s="7"/>
      <c r="J7" s="3"/>
      <c r="K7" s="7"/>
      <c r="L7" s="7"/>
      <c r="M7" s="142" t="s">
        <v>393</v>
      </c>
      <c r="N7" s="7"/>
      <c r="O7" s="7"/>
      <c r="P7" s="3"/>
      <c r="Q7" s="7"/>
      <c r="R7" s="7"/>
      <c r="S7" s="142" t="s">
        <v>394</v>
      </c>
      <c r="T7" s="7"/>
      <c r="U7" s="7"/>
      <c r="V7" s="3"/>
      <c r="W7" s="5"/>
      <c r="X7" s="3" t="s">
        <v>272</v>
      </c>
      <c r="Y7" s="1"/>
      <c r="Z7" s="55"/>
      <c r="AA7" s="55"/>
    </row>
    <row r="8" spans="1:27" ht="12.75">
      <c r="A8" s="356"/>
      <c r="B8" s="354"/>
      <c r="C8" s="355"/>
      <c r="D8" s="5"/>
      <c r="E8" s="7"/>
      <c r="F8" s="7"/>
      <c r="G8" s="305"/>
      <c r="H8" s="7"/>
      <c r="I8" s="7"/>
      <c r="J8" s="3"/>
      <c r="K8" s="7"/>
      <c r="L8" s="7"/>
      <c r="M8" s="305"/>
      <c r="N8" s="7"/>
      <c r="O8" s="7"/>
      <c r="P8" s="3"/>
      <c r="Q8" s="7"/>
      <c r="R8" s="7"/>
      <c r="S8" s="305"/>
      <c r="T8" s="7"/>
      <c r="U8" s="7"/>
      <c r="V8" s="3"/>
      <c r="W8" s="5"/>
      <c r="X8" s="306" t="s">
        <v>273</v>
      </c>
      <c r="Y8" s="1"/>
      <c r="Z8" s="55"/>
      <c r="AA8" s="55"/>
    </row>
    <row r="9" spans="1:27" ht="14.25" customHeight="1">
      <c r="A9" s="357" t="s">
        <v>82</v>
      </c>
      <c r="B9" s="354"/>
      <c r="C9" s="358"/>
      <c r="D9" s="8" t="s">
        <v>270</v>
      </c>
      <c r="E9" s="7"/>
      <c r="F9" s="7"/>
      <c r="G9" s="305"/>
      <c r="H9" s="7"/>
      <c r="I9" s="7"/>
      <c r="J9" s="3"/>
      <c r="K9" s="7"/>
      <c r="L9" s="7"/>
      <c r="M9" s="305"/>
      <c r="N9" s="7"/>
      <c r="O9" s="7"/>
      <c r="P9" s="3"/>
      <c r="Q9" s="7"/>
      <c r="R9" s="7"/>
      <c r="S9" s="305"/>
      <c r="T9" s="7"/>
      <c r="U9" s="7"/>
      <c r="V9" s="3"/>
      <c r="W9" s="5"/>
      <c r="X9" s="429" t="s">
        <v>274</v>
      </c>
      <c r="Y9" s="1"/>
      <c r="Z9" s="55"/>
      <c r="AA9" s="55"/>
    </row>
    <row r="10" spans="1:27" ht="15" customHeight="1">
      <c r="A10" s="357" t="s">
        <v>571</v>
      </c>
      <c r="B10" s="354"/>
      <c r="C10" s="354"/>
      <c r="D10" s="9" t="s">
        <v>94</v>
      </c>
      <c r="E10" s="7"/>
      <c r="F10" s="7"/>
      <c r="G10" s="359">
        <v>1</v>
      </c>
      <c r="H10" s="7"/>
      <c r="I10" s="7"/>
      <c r="J10" s="3"/>
      <c r="K10" s="7"/>
      <c r="L10" s="7"/>
      <c r="M10" s="359">
        <v>1</v>
      </c>
      <c r="N10" s="7"/>
      <c r="O10" s="7"/>
      <c r="P10" s="3"/>
      <c r="Q10" s="7"/>
      <c r="R10" s="7"/>
      <c r="S10" s="359">
        <v>1</v>
      </c>
      <c r="T10" s="7"/>
      <c r="U10" s="7"/>
      <c r="V10" s="3"/>
      <c r="W10" s="3"/>
      <c r="X10" s="429"/>
      <c r="Y10" s="1"/>
      <c r="Z10" s="55"/>
      <c r="AA10" s="55"/>
    </row>
    <row r="11" spans="1:27" ht="14.25">
      <c r="A11" s="357" t="s">
        <v>572</v>
      </c>
      <c r="B11" s="354"/>
      <c r="C11" s="358"/>
      <c r="D11" s="8" t="s">
        <v>87</v>
      </c>
      <c r="E11" s="7"/>
      <c r="F11" s="7"/>
      <c r="G11" s="307" t="str">
        <f>Calc_cor!B10</f>
        <v>Aucune</v>
      </c>
      <c r="H11" s="7"/>
      <c r="I11" s="7"/>
      <c r="J11" s="3"/>
      <c r="K11" s="7"/>
      <c r="L11" s="7"/>
      <c r="M11" s="307" t="str">
        <f>Calc_cor!C10</f>
        <v>Aucune</v>
      </c>
      <c r="N11" s="7"/>
      <c r="O11" s="7"/>
      <c r="P11" s="3"/>
      <c r="Q11" s="7"/>
      <c r="R11" s="7"/>
      <c r="S11" s="307" t="str">
        <f>Calc_cor!D10</f>
        <v>Aucune</v>
      </c>
      <c r="T11" s="7"/>
      <c r="U11" s="7"/>
      <c r="V11" s="3"/>
      <c r="W11" s="5"/>
      <c r="X11" s="429"/>
      <c r="Y11" s="1"/>
      <c r="Z11" s="55"/>
      <c r="AA11" s="55"/>
    </row>
    <row r="12" spans="1:27" ht="15" customHeight="1">
      <c r="A12" s="357" t="s">
        <v>573</v>
      </c>
      <c r="B12" s="354"/>
      <c r="C12" s="354"/>
      <c r="D12" s="9" t="s">
        <v>290</v>
      </c>
      <c r="E12" s="7"/>
      <c r="F12" s="7"/>
      <c r="G12" s="10"/>
      <c r="H12" s="7"/>
      <c r="I12" s="7"/>
      <c r="J12" s="3"/>
      <c r="K12" s="7"/>
      <c r="L12" s="7"/>
      <c r="M12" s="10"/>
      <c r="N12" s="7"/>
      <c r="O12" s="7"/>
      <c r="P12" s="3"/>
      <c r="Q12" s="7"/>
      <c r="R12" s="7"/>
      <c r="S12" s="10"/>
      <c r="T12" s="7"/>
      <c r="U12" s="7"/>
      <c r="V12" s="3"/>
      <c r="W12" s="5"/>
      <c r="X12" s="430" t="s">
        <v>275</v>
      </c>
      <c r="Y12" s="1"/>
      <c r="Z12" s="55"/>
      <c r="AA12" s="55"/>
    </row>
    <row r="13" spans="1:27" ht="14.25">
      <c r="A13" s="268"/>
      <c r="B13" s="3"/>
      <c r="C13" s="3"/>
      <c r="D13" s="8" t="s">
        <v>132</v>
      </c>
      <c r="E13" s="7"/>
      <c r="F13" s="7"/>
      <c r="G13" s="308">
        <f>IF(Dimensions!G10&gt;1,Surfaces!J77,0)</f>
        <v>0</v>
      </c>
      <c r="H13" s="7" t="s">
        <v>80</v>
      </c>
      <c r="I13" s="7"/>
      <c r="J13" s="3"/>
      <c r="K13" s="7"/>
      <c r="L13" s="7"/>
      <c r="M13" s="308">
        <f>IF(Dimensions!M10&gt;1,Surfaces!Q77,0)</f>
        <v>0</v>
      </c>
      <c r="N13" s="7" t="s">
        <v>80</v>
      </c>
      <c r="O13" s="7"/>
      <c r="P13" s="3"/>
      <c r="Q13" s="7"/>
      <c r="R13" s="7"/>
      <c r="S13" s="308">
        <f>IF(Dimensions!S10&gt;1,Surfaces!X77,0)</f>
        <v>0</v>
      </c>
      <c r="T13" s="7" t="s">
        <v>80</v>
      </c>
      <c r="U13" s="7"/>
      <c r="V13" s="3"/>
      <c r="W13" s="5"/>
      <c r="X13" s="430"/>
      <c r="Y13" s="1"/>
      <c r="Z13" s="55"/>
      <c r="AA13" s="55"/>
    </row>
    <row r="14" spans="1:27" ht="12.75">
      <c r="A14" s="268"/>
      <c r="B14" s="3"/>
      <c r="C14" s="3"/>
      <c r="D14" s="9" t="s">
        <v>290</v>
      </c>
      <c r="E14" s="7"/>
      <c r="F14" s="3"/>
      <c r="G14" s="3"/>
      <c r="H14" s="3"/>
      <c r="I14" s="3"/>
      <c r="J14" s="3"/>
      <c r="K14" s="3"/>
      <c r="L14" s="3"/>
      <c r="M14" s="3"/>
      <c r="N14" s="3"/>
      <c r="O14" s="3"/>
      <c r="P14" s="3"/>
      <c r="Q14" s="3"/>
      <c r="R14" s="3"/>
      <c r="S14" s="3"/>
      <c r="T14" s="7"/>
      <c r="U14" s="7"/>
      <c r="V14" s="3"/>
      <c r="W14" s="5"/>
      <c r="X14" s="3"/>
      <c r="Y14" s="1"/>
      <c r="Z14" s="55"/>
      <c r="AA14" s="55"/>
    </row>
    <row r="15" spans="1:27" ht="12.75">
      <c r="A15" s="3"/>
      <c r="B15" s="3"/>
      <c r="C15" s="3"/>
      <c r="D15" s="3"/>
      <c r="E15" s="7"/>
      <c r="F15" s="7"/>
      <c r="G15" s="7"/>
      <c r="H15" s="7"/>
      <c r="I15" s="7"/>
      <c r="J15" s="3"/>
      <c r="K15" s="7"/>
      <c r="L15" s="7"/>
      <c r="M15" s="7"/>
      <c r="N15" s="7"/>
      <c r="O15" s="7"/>
      <c r="P15" s="3"/>
      <c r="Q15" s="7"/>
      <c r="R15" s="7"/>
      <c r="S15" s="7"/>
      <c r="T15" s="7"/>
      <c r="U15" s="7"/>
      <c r="V15" s="3"/>
      <c r="W15" s="5"/>
      <c r="X15" s="309" t="s">
        <v>284</v>
      </c>
      <c r="Y15" s="1"/>
      <c r="Z15" s="55"/>
      <c r="AA15" s="55"/>
    </row>
    <row r="16" spans="1:27" ht="12.75">
      <c r="A16" s="3"/>
      <c r="B16" s="3"/>
      <c r="C16" s="3"/>
      <c r="D16" s="5"/>
      <c r="E16" s="3"/>
      <c r="F16" s="3"/>
      <c r="G16" s="3"/>
      <c r="H16" s="3"/>
      <c r="I16" s="3"/>
      <c r="J16" s="3"/>
      <c r="K16" s="3"/>
      <c r="L16" s="3"/>
      <c r="M16" s="3"/>
      <c r="N16" s="3"/>
      <c r="O16" s="3"/>
      <c r="P16" s="3"/>
      <c r="Q16" s="3"/>
      <c r="R16" s="3"/>
      <c r="S16" s="3"/>
      <c r="T16" s="3"/>
      <c r="U16" s="3"/>
      <c r="V16" s="3"/>
      <c r="W16" s="5"/>
      <c r="X16" s="3"/>
      <c r="Y16" s="1"/>
      <c r="Z16" s="55"/>
      <c r="AA16" s="55"/>
    </row>
    <row r="17" spans="1:27" ht="13.5" customHeight="1">
      <c r="A17" s="3"/>
      <c r="B17" s="3"/>
      <c r="C17" s="3"/>
      <c r="D17" s="5"/>
      <c r="E17" s="3"/>
      <c r="F17" s="3"/>
      <c r="G17" s="3"/>
      <c r="H17" s="12"/>
      <c r="I17" s="3"/>
      <c r="J17" s="3"/>
      <c r="K17" s="3"/>
      <c r="L17" s="12" t="s">
        <v>417</v>
      </c>
      <c r="M17" s="310">
        <f>Calc_etu!D118</f>
        <v>0</v>
      </c>
      <c r="N17" s="3" t="s">
        <v>89</v>
      </c>
      <c r="O17" s="3"/>
      <c r="P17" s="3"/>
      <c r="Q17" s="3"/>
      <c r="R17" s="3"/>
      <c r="S17" s="3"/>
      <c r="T17" s="3"/>
      <c r="U17" s="3"/>
      <c r="V17" s="3"/>
      <c r="W17" s="5"/>
      <c r="X17" s="431" t="s">
        <v>234</v>
      </c>
      <c r="Y17" s="1"/>
      <c r="Z17" s="55"/>
      <c r="AA17" s="55"/>
    </row>
    <row r="18" spans="1:27" ht="7.5" customHeight="1">
      <c r="A18" s="3"/>
      <c r="B18" s="3"/>
      <c r="C18" s="3"/>
      <c r="D18" s="5"/>
      <c r="E18" s="3"/>
      <c r="F18" s="3"/>
      <c r="G18" s="3"/>
      <c r="H18" s="3"/>
      <c r="I18" s="3"/>
      <c r="J18" s="3"/>
      <c r="K18" s="3"/>
      <c r="L18" s="3"/>
      <c r="M18" s="7"/>
      <c r="N18" s="3"/>
      <c r="O18" s="3"/>
      <c r="P18" s="3"/>
      <c r="Q18" s="3"/>
      <c r="R18" s="3"/>
      <c r="S18" s="3"/>
      <c r="T18" s="3"/>
      <c r="U18" s="3"/>
      <c r="V18" s="3"/>
      <c r="W18" s="5"/>
      <c r="X18" s="431"/>
      <c r="Y18" s="1"/>
      <c r="Z18" s="55"/>
      <c r="AA18" s="55"/>
    </row>
    <row r="19" spans="1:27" ht="13.5" customHeight="1">
      <c r="A19" s="3"/>
      <c r="B19" s="3"/>
      <c r="C19" s="3"/>
      <c r="D19" s="5"/>
      <c r="E19" s="3"/>
      <c r="F19" s="3"/>
      <c r="G19" s="3"/>
      <c r="H19" s="3"/>
      <c r="I19" s="3"/>
      <c r="J19" s="3"/>
      <c r="K19" s="3"/>
      <c r="L19" s="12">
        <f>IF(M19=0,"","Remise quantitative  ")</f>
      </c>
      <c r="M19" s="310">
        <f>Calc_etu!D119</f>
        <v>0</v>
      </c>
      <c r="N19" s="3">
        <f>IF(M19=0,""," €")</f>
      </c>
      <c r="O19" s="3"/>
      <c r="P19" s="3"/>
      <c r="Q19" s="3"/>
      <c r="R19" s="3"/>
      <c r="S19" s="3"/>
      <c r="T19" s="3"/>
      <c r="U19" s="3"/>
      <c r="V19" s="3"/>
      <c r="W19" s="5"/>
      <c r="X19" s="431"/>
      <c r="Y19" s="1"/>
      <c r="Z19" s="55"/>
      <c r="AA19" s="55"/>
    </row>
    <row r="20" spans="1:27" ht="7.5" customHeight="1">
      <c r="A20" s="3"/>
      <c r="B20" s="3"/>
      <c r="C20" s="3"/>
      <c r="D20" s="5"/>
      <c r="E20" s="3"/>
      <c r="F20" s="3"/>
      <c r="G20" s="3"/>
      <c r="H20" s="3"/>
      <c r="I20" s="3"/>
      <c r="J20" s="3"/>
      <c r="K20" s="3"/>
      <c r="L20" s="3"/>
      <c r="M20" s="7"/>
      <c r="N20" s="3"/>
      <c r="O20" s="3"/>
      <c r="P20" s="3"/>
      <c r="Q20" s="3"/>
      <c r="R20" s="3"/>
      <c r="S20" s="3"/>
      <c r="T20" s="3"/>
      <c r="U20" s="3"/>
      <c r="V20" s="3"/>
      <c r="W20" s="5"/>
      <c r="X20" s="431"/>
      <c r="Y20" s="1"/>
      <c r="Z20" s="55"/>
      <c r="AA20" s="55"/>
    </row>
    <row r="21" spans="1:27" ht="13.5" customHeight="1">
      <c r="A21" s="3"/>
      <c r="B21" s="3"/>
      <c r="C21" s="3"/>
      <c r="D21" s="5"/>
      <c r="E21" s="3"/>
      <c r="F21" s="3"/>
      <c r="G21" s="3"/>
      <c r="H21" s="3"/>
      <c r="I21" s="3"/>
      <c r="J21" s="3"/>
      <c r="K21" s="3"/>
      <c r="L21" s="311" t="s">
        <v>418</v>
      </c>
      <c r="M21" s="312">
        <f>Calc_etu!D120</f>
        <v>0</v>
      </c>
      <c r="N21" s="3" t="s">
        <v>90</v>
      </c>
      <c r="O21" s="3"/>
      <c r="P21" s="3"/>
      <c r="Q21" s="3"/>
      <c r="R21" s="3"/>
      <c r="S21" s="3"/>
      <c r="T21" s="3"/>
      <c r="U21" s="3"/>
      <c r="V21" s="3"/>
      <c r="W21" s="5"/>
      <c r="X21" s="3"/>
      <c r="Y21" s="1"/>
      <c r="Z21" s="55"/>
      <c r="AA21" s="55"/>
    </row>
    <row r="22" spans="1:27" ht="12.75">
      <c r="A22" s="3"/>
      <c r="B22" s="313"/>
      <c r="C22" s="314"/>
      <c r="D22" s="314"/>
      <c r="E22" s="313"/>
      <c r="F22" s="313"/>
      <c r="G22" s="313"/>
      <c r="H22" s="313"/>
      <c r="I22" s="313"/>
      <c r="J22" s="313"/>
      <c r="K22" s="313"/>
      <c r="L22" s="313"/>
      <c r="M22" s="313"/>
      <c r="N22" s="313"/>
      <c r="O22" s="313"/>
      <c r="P22" s="313"/>
      <c r="Q22" s="313"/>
      <c r="R22" s="315"/>
      <c r="S22" s="316"/>
      <c r="T22" s="316"/>
      <c r="U22" s="313"/>
      <c r="V22" s="7"/>
      <c r="W22" s="3"/>
      <c r="X22" s="313"/>
      <c r="Y22" s="1"/>
      <c r="Z22" s="55"/>
      <c r="AA22" s="55"/>
    </row>
    <row r="23" spans="1:27" ht="12" customHeight="1">
      <c r="A23" s="3"/>
      <c r="B23" s="3"/>
      <c r="C23" s="3"/>
      <c r="D23" s="3"/>
      <c r="E23" s="3"/>
      <c r="F23" s="3"/>
      <c r="G23" s="3"/>
      <c r="H23" s="3"/>
      <c r="I23" s="3"/>
      <c r="J23" s="3"/>
      <c r="K23" s="3"/>
      <c r="L23" s="3"/>
      <c r="M23" s="3"/>
      <c r="N23" s="3"/>
      <c r="O23" s="3"/>
      <c r="P23" s="3"/>
      <c r="Q23" s="3"/>
      <c r="R23" s="3"/>
      <c r="S23" s="3"/>
      <c r="T23" s="3"/>
      <c r="U23" s="3"/>
      <c r="V23" s="3"/>
      <c r="W23" s="3"/>
      <c r="X23" s="3"/>
      <c r="Y23" s="1"/>
      <c r="Z23" s="55"/>
      <c r="AA23" s="55"/>
    </row>
    <row r="24" spans="1:27" ht="14.25">
      <c r="A24" s="3"/>
      <c r="B24" s="3"/>
      <c r="C24" s="317" t="s">
        <v>520</v>
      </c>
      <c r="D24" s="3"/>
      <c r="E24" s="3"/>
      <c r="F24" s="3"/>
      <c r="G24" s="3"/>
      <c r="H24" s="3"/>
      <c r="I24" s="3"/>
      <c r="J24" s="3"/>
      <c r="K24" s="3"/>
      <c r="L24" s="6"/>
      <c r="M24" s="3"/>
      <c r="N24" s="3"/>
      <c r="O24" s="3"/>
      <c r="P24" s="3"/>
      <c r="Q24" s="3"/>
      <c r="R24" s="3"/>
      <c r="S24" s="3"/>
      <c r="T24" s="3"/>
      <c r="U24" s="3"/>
      <c r="V24" s="3"/>
      <c r="W24" s="3"/>
      <c r="X24" s="304" t="s">
        <v>441</v>
      </c>
      <c r="Y24" s="1"/>
      <c r="Z24" s="55"/>
      <c r="AA24" s="55"/>
    </row>
    <row r="25" spans="1:27" ht="7.5" customHeight="1">
      <c r="A25" s="3"/>
      <c r="B25" s="3"/>
      <c r="C25" s="3"/>
      <c r="D25" s="3"/>
      <c r="E25" s="3"/>
      <c r="F25" s="3"/>
      <c r="G25" s="3"/>
      <c r="H25" s="3"/>
      <c r="I25" s="3"/>
      <c r="J25" s="3"/>
      <c r="K25" s="3"/>
      <c r="L25" s="3"/>
      <c r="M25" s="3"/>
      <c r="N25" s="3"/>
      <c r="O25" s="3"/>
      <c r="P25" s="3"/>
      <c r="Q25" s="3"/>
      <c r="R25" s="3"/>
      <c r="S25" s="3"/>
      <c r="T25" s="3"/>
      <c r="U25" s="3"/>
      <c r="V25" s="3"/>
      <c r="W25" s="3"/>
      <c r="X25" s="3"/>
      <c r="Y25" s="1"/>
      <c r="Z25" s="55"/>
      <c r="AA25" s="55"/>
    </row>
    <row r="26" spans="1:27" ht="18" customHeight="1">
      <c r="A26" s="3"/>
      <c r="B26" s="3"/>
      <c r="C26" s="318" t="s">
        <v>0</v>
      </c>
      <c r="D26" s="3"/>
      <c r="E26" s="3"/>
      <c r="F26" s="3"/>
      <c r="G26" s="3"/>
      <c r="H26" s="3"/>
      <c r="I26" s="3"/>
      <c r="J26" s="3"/>
      <c r="K26" s="3"/>
      <c r="L26" s="319">
        <v>1</v>
      </c>
      <c r="M26" s="3"/>
      <c r="N26" s="319">
        <v>2</v>
      </c>
      <c r="O26" s="3"/>
      <c r="P26" s="3"/>
      <c r="Q26" s="3"/>
      <c r="R26" s="319">
        <v>3</v>
      </c>
      <c r="S26" s="320" t="s">
        <v>92</v>
      </c>
      <c r="T26" s="3"/>
      <c r="U26" s="3"/>
      <c r="V26" s="3"/>
      <c r="W26" s="3"/>
      <c r="X26" s="321" t="s">
        <v>0</v>
      </c>
      <c r="Y26" s="1"/>
      <c r="Z26" s="55"/>
      <c r="AA26" s="55"/>
    </row>
    <row r="27" spans="1:27" ht="15" customHeight="1">
      <c r="A27" s="3"/>
      <c r="B27" s="3"/>
      <c r="C27" s="423" t="s">
        <v>413</v>
      </c>
      <c r="D27" s="423"/>
      <c r="E27" s="423"/>
      <c r="F27" s="423"/>
      <c r="G27" s="423"/>
      <c r="H27" s="322"/>
      <c r="I27" s="3"/>
      <c r="J27" s="3"/>
      <c r="K27" s="323">
        <f>IF(Q27=TRUE,"Module désactivé","")</f>
      </c>
      <c r="L27" s="324"/>
      <c r="M27" s="3"/>
      <c r="N27" s="325"/>
      <c r="O27" s="3"/>
      <c r="P27" s="3"/>
      <c r="Q27" s="357" t="b">
        <v>0</v>
      </c>
      <c r="R27" s="319"/>
      <c r="S27" s="320"/>
      <c r="T27" s="3"/>
      <c r="U27" s="3"/>
      <c r="V27" s="3"/>
      <c r="W27" s="3"/>
      <c r="X27" s="420" t="s">
        <v>444</v>
      </c>
      <c r="Y27" s="1"/>
      <c r="Z27" s="55"/>
      <c r="AA27" s="55"/>
    </row>
    <row r="28" spans="1:27" ht="7.5" customHeight="1">
      <c r="A28" s="3"/>
      <c r="B28" s="3"/>
      <c r="C28" s="318"/>
      <c r="D28" s="3"/>
      <c r="E28" s="3"/>
      <c r="F28" s="3"/>
      <c r="G28" s="3"/>
      <c r="H28" s="322"/>
      <c r="I28" s="3"/>
      <c r="J28" s="3"/>
      <c r="K28" s="3"/>
      <c r="L28" s="327"/>
      <c r="M28" s="3"/>
      <c r="N28" s="328"/>
      <c r="O28" s="3"/>
      <c r="P28" s="3"/>
      <c r="Q28" s="3"/>
      <c r="R28" s="329"/>
      <c r="S28" s="320"/>
      <c r="T28" s="3"/>
      <c r="U28" s="3"/>
      <c r="V28" s="3"/>
      <c r="W28" s="3"/>
      <c r="X28" s="420"/>
      <c r="Y28" s="1"/>
      <c r="Z28" s="55"/>
      <c r="AA28" s="55"/>
    </row>
    <row r="29" spans="1:27" ht="12.75" customHeight="1">
      <c r="A29" s="3"/>
      <c r="B29" s="3"/>
      <c r="C29" s="13" t="s">
        <v>303</v>
      </c>
      <c r="D29" s="13"/>
      <c r="E29" s="3"/>
      <c r="F29" s="3"/>
      <c r="G29" s="3"/>
      <c r="H29" s="3"/>
      <c r="I29" s="3"/>
      <c r="J29" s="3"/>
      <c r="K29" s="3"/>
      <c r="L29" s="327"/>
      <c r="M29" s="3"/>
      <c r="N29" s="330"/>
      <c r="O29" s="3"/>
      <c r="P29" s="3"/>
      <c r="Q29" s="3"/>
      <c r="R29" s="331"/>
      <c r="S29" s="3"/>
      <c r="T29" s="3"/>
      <c r="U29" s="3"/>
      <c r="V29" s="3"/>
      <c r="W29" s="3"/>
      <c r="X29" s="420"/>
      <c r="Y29" s="1"/>
      <c r="Z29" s="55"/>
      <c r="AA29" s="55"/>
    </row>
    <row r="30" spans="1:27" ht="12.75">
      <c r="A30" s="3">
        <v>1</v>
      </c>
      <c r="B30" s="3"/>
      <c r="C30" s="1" t="s">
        <v>540</v>
      </c>
      <c r="D30" s="1"/>
      <c r="E30" s="1"/>
      <c r="F30" s="3"/>
      <c r="G30" s="3"/>
      <c r="H30" s="3"/>
      <c r="I30" s="3"/>
      <c r="J30" s="3"/>
      <c r="K30" s="3"/>
      <c r="L30" s="333">
        <f>IF(Calc_etu!O14=1,"x","")</f>
      </c>
      <c r="M30" s="3"/>
      <c r="N30" s="334">
        <f>IF(Calc_etu!AG14=1,"x","")</f>
      </c>
      <c r="O30" s="3"/>
      <c r="P30" s="3"/>
      <c r="Q30" s="3"/>
      <c r="R30" s="335">
        <f>IF(Calc_etu!AY14=1,"x","")</f>
      </c>
      <c r="S30" s="336"/>
      <c r="T30" s="15"/>
      <c r="U30" s="3"/>
      <c r="V30" s="3"/>
      <c r="W30" s="3"/>
      <c r="X30" s="420"/>
      <c r="Y30" s="1"/>
      <c r="Z30" s="55"/>
      <c r="AA30" s="55"/>
    </row>
    <row r="31" spans="1:27" ht="12.75">
      <c r="A31" s="3"/>
      <c r="B31" s="3"/>
      <c r="C31" s="1" t="s">
        <v>541</v>
      </c>
      <c r="D31" s="1"/>
      <c r="E31" s="1"/>
      <c r="F31" s="3"/>
      <c r="G31" s="3"/>
      <c r="H31" s="3"/>
      <c r="I31" s="3"/>
      <c r="J31" s="3"/>
      <c r="K31" s="3"/>
      <c r="L31" s="333">
        <f>IF(Calc_etu!O15=1,"x","")</f>
      </c>
      <c r="M31" s="3"/>
      <c r="N31" s="334">
        <f>IF(Calc_etu!AG15=1,"x","")</f>
      </c>
      <c r="O31" s="3"/>
      <c r="P31" s="3"/>
      <c r="Q31" s="3"/>
      <c r="R31" s="335">
        <f>IF(Calc_etu!AY15=1,"x","")</f>
      </c>
      <c r="S31" s="336"/>
      <c r="T31" s="15"/>
      <c r="U31" s="3"/>
      <c r="V31" s="3"/>
      <c r="W31" s="3"/>
      <c r="X31" s="420"/>
      <c r="Y31" s="1"/>
      <c r="Z31" s="55"/>
      <c r="AA31" s="55"/>
    </row>
    <row r="32" spans="1:27" ht="12.75">
      <c r="A32" s="3"/>
      <c r="B32" s="3"/>
      <c r="C32" s="1" t="s">
        <v>542</v>
      </c>
      <c r="D32" s="1"/>
      <c r="E32" s="1"/>
      <c r="F32" s="3"/>
      <c r="G32" s="3"/>
      <c r="H32" s="3"/>
      <c r="I32" s="3"/>
      <c r="J32" s="3"/>
      <c r="K32" s="3"/>
      <c r="L32" s="333">
        <f>IF(Calc_etu!O16=1,"x","")</f>
      </c>
      <c r="M32" s="3"/>
      <c r="N32" s="334">
        <f>IF(Calc_etu!AG16=1,"x","")</f>
      </c>
      <c r="O32" s="3"/>
      <c r="P32" s="3"/>
      <c r="Q32" s="3"/>
      <c r="R32" s="335">
        <f>IF(Calc_etu!AY16=1,"x","")</f>
      </c>
      <c r="S32" s="336"/>
      <c r="T32" s="15"/>
      <c r="U32" s="3"/>
      <c r="V32" s="3"/>
      <c r="W32" s="3"/>
      <c r="X32" s="420"/>
      <c r="Y32" s="1"/>
      <c r="Z32" s="55"/>
      <c r="AA32" s="55"/>
    </row>
    <row r="33" spans="1:27" ht="12.75">
      <c r="A33" s="3"/>
      <c r="B33" s="3"/>
      <c r="C33" s="1" t="s">
        <v>49</v>
      </c>
      <c r="D33" s="1"/>
      <c r="E33" s="1"/>
      <c r="F33" s="3"/>
      <c r="G33" s="3"/>
      <c r="H33" s="3"/>
      <c r="I33" s="3"/>
      <c r="J33" s="3"/>
      <c r="K33" s="3"/>
      <c r="L33" s="333">
        <f>IF(Calc_etu!O17=1,"x","")</f>
      </c>
      <c r="M33" s="3"/>
      <c r="N33" s="334">
        <f>IF(Calc_etu!AG17=1,"x","")</f>
      </c>
      <c r="O33" s="3"/>
      <c r="P33" s="3"/>
      <c r="Q33" s="3"/>
      <c r="R33" s="335">
        <f>IF(Calc_etu!AY17=1,"x","")</f>
      </c>
      <c r="S33" s="336"/>
      <c r="T33" s="15"/>
      <c r="U33" s="3"/>
      <c r="V33" s="3"/>
      <c r="W33" s="3"/>
      <c r="X33" s="420"/>
      <c r="Y33" s="1"/>
      <c r="Z33" s="55"/>
      <c r="AA33" s="55"/>
    </row>
    <row r="34" spans="1:27" ht="12.75">
      <c r="A34" s="3"/>
      <c r="B34" s="3"/>
      <c r="C34" s="1" t="s">
        <v>543</v>
      </c>
      <c r="D34" s="1"/>
      <c r="E34" s="1"/>
      <c r="F34" s="3"/>
      <c r="G34" s="3"/>
      <c r="H34" s="3"/>
      <c r="I34" s="3"/>
      <c r="J34" s="3"/>
      <c r="K34" s="3"/>
      <c r="L34" s="333">
        <f>IF(Calc_etu!O18=1,"x","")</f>
      </c>
      <c r="M34" s="3"/>
      <c r="N34" s="334">
        <f>IF(Calc_etu!AG18=1,"x","")</f>
      </c>
      <c r="O34" s="3"/>
      <c r="P34" s="3"/>
      <c r="Q34" s="3"/>
      <c r="R34" s="335">
        <f>IF(Calc_etu!AY18=1,"x","")</f>
      </c>
      <c r="S34" s="336"/>
      <c r="T34" s="15"/>
      <c r="U34" s="3"/>
      <c r="V34" s="3"/>
      <c r="W34" s="3"/>
      <c r="X34" s="420"/>
      <c r="Y34" s="1"/>
      <c r="Z34" s="55"/>
      <c r="AA34" s="55"/>
    </row>
    <row r="35" spans="1:27" ht="12.75">
      <c r="A35" s="3"/>
      <c r="B35" s="3"/>
      <c r="C35" s="1" t="s">
        <v>52</v>
      </c>
      <c r="D35" s="1"/>
      <c r="E35" s="1"/>
      <c r="F35" s="3"/>
      <c r="G35" s="3"/>
      <c r="H35" s="3"/>
      <c r="I35" s="3"/>
      <c r="J35" s="3"/>
      <c r="K35" s="3"/>
      <c r="L35" s="333">
        <f>IF(Calc_etu!O19=1,"x","")</f>
      </c>
      <c r="M35" s="3"/>
      <c r="N35" s="334">
        <f>IF(Calc_etu!AG19=1,"x","")</f>
      </c>
      <c r="O35" s="3"/>
      <c r="P35" s="3"/>
      <c r="Q35" s="3"/>
      <c r="R35" s="335">
        <f>IF(Calc_etu!AY19=1,"x","")</f>
      </c>
      <c r="S35" s="336"/>
      <c r="T35" s="15"/>
      <c r="U35" s="3"/>
      <c r="V35" s="3"/>
      <c r="W35" s="3"/>
      <c r="X35" s="420"/>
      <c r="Y35" s="1"/>
      <c r="Z35" s="55"/>
      <c r="AA35" s="55"/>
    </row>
    <row r="36" spans="1:27" ht="12.75">
      <c r="A36" s="3"/>
      <c r="B36" s="113" t="s">
        <v>554</v>
      </c>
      <c r="C36" s="1" t="s">
        <v>553</v>
      </c>
      <c r="D36" s="1"/>
      <c r="E36" s="1"/>
      <c r="F36" s="3"/>
      <c r="G36" s="3"/>
      <c r="H36" s="3"/>
      <c r="I36" s="3"/>
      <c r="J36" s="3"/>
      <c r="K36" s="3"/>
      <c r="L36" s="333">
        <f>IF(Calc_etu!O20=1,"x","")</f>
      </c>
      <c r="M36" s="3"/>
      <c r="N36" s="334">
        <f>IF(Calc_etu!AG20=1,"x","")</f>
      </c>
      <c r="O36" s="3"/>
      <c r="P36" s="3"/>
      <c r="Q36" s="3"/>
      <c r="R36" s="335">
        <f>IF(Calc_etu!AY20=1,"x","")</f>
      </c>
      <c r="S36" s="336"/>
      <c r="T36" s="15"/>
      <c r="U36" s="3"/>
      <c r="V36" s="3"/>
      <c r="W36" s="3"/>
      <c r="X36" s="420"/>
      <c r="Y36" s="1"/>
      <c r="Z36" s="55"/>
      <c r="AA36" s="55"/>
    </row>
    <row r="37" spans="1:27" ht="12.75">
      <c r="A37" s="3"/>
      <c r="B37" s="402" t="s">
        <v>556</v>
      </c>
      <c r="C37" s="1" t="s">
        <v>545</v>
      </c>
      <c r="D37" s="1"/>
      <c r="E37" s="1"/>
      <c r="F37" s="3"/>
      <c r="G37" s="3"/>
      <c r="H37" s="3"/>
      <c r="I37" s="3"/>
      <c r="J37" s="3"/>
      <c r="K37" s="3"/>
      <c r="L37" s="333">
        <f>IF(Calc_etu!O21=1,"x","")</f>
      </c>
      <c r="M37" s="3"/>
      <c r="N37" s="334">
        <f>IF(Calc_etu!AG21=1,"x","")</f>
      </c>
      <c r="O37" s="3"/>
      <c r="P37" s="3"/>
      <c r="Q37" s="3"/>
      <c r="R37" s="335">
        <f>IF(Calc_etu!AY21=1,"x","")</f>
      </c>
      <c r="S37" s="336"/>
      <c r="T37" s="15"/>
      <c r="U37" s="3"/>
      <c r="V37" s="3"/>
      <c r="W37" s="3"/>
      <c r="X37" s="420"/>
      <c r="Y37" s="1"/>
      <c r="Z37" s="55"/>
      <c r="AA37" s="55"/>
    </row>
    <row r="38" spans="1:27" ht="12.75">
      <c r="A38" s="3"/>
      <c r="B38" s="113" t="s">
        <v>555</v>
      </c>
      <c r="C38" s="1" t="s">
        <v>559</v>
      </c>
      <c r="D38" s="1"/>
      <c r="E38" s="406">
        <f>IF(Calc_etu!O20=1,"Entrez un nombre:","")</f>
      </c>
      <c r="F38" s="406"/>
      <c r="G38" s="406"/>
      <c r="H38" s="3"/>
      <c r="I38" s="3"/>
      <c r="J38" s="360">
        <v>1</v>
      </c>
      <c r="K38" s="3"/>
      <c r="L38" s="333">
        <f>IF(Calc_etu!O22=1,"x","")</f>
      </c>
      <c r="M38" s="3"/>
      <c r="N38" s="334">
        <f>IF(Calc_etu!AG22=1,"x","")</f>
      </c>
      <c r="O38" s="3"/>
      <c r="P38" s="3"/>
      <c r="Q38" s="3"/>
      <c r="R38" s="335">
        <f>IF(Calc_etu!AY22=1,"x","")</f>
      </c>
      <c r="S38" s="336"/>
      <c r="T38" s="15"/>
      <c r="U38" s="3"/>
      <c r="V38" s="3"/>
      <c r="W38" s="3"/>
      <c r="X38" s="420" t="s">
        <v>560</v>
      </c>
      <c r="Y38" s="1"/>
      <c r="Z38" s="55"/>
      <c r="AA38" s="55"/>
    </row>
    <row r="39" spans="1:27" ht="12.75">
      <c r="A39" s="3"/>
      <c r="B39" s="3"/>
      <c r="C39" s="1" t="s">
        <v>546</v>
      </c>
      <c r="D39" s="1"/>
      <c r="E39" s="1"/>
      <c r="F39" s="3"/>
      <c r="G39" s="3"/>
      <c r="H39" s="3"/>
      <c r="I39" s="3"/>
      <c r="J39" s="3"/>
      <c r="K39" s="3"/>
      <c r="L39" s="333">
        <f>IF(Calc_etu!O23=1,"x","")</f>
      </c>
      <c r="M39" s="3"/>
      <c r="N39" s="334">
        <f>IF(Calc_etu!AG23=1,"x","")</f>
      </c>
      <c r="O39" s="3"/>
      <c r="P39" s="3"/>
      <c r="Q39" s="3"/>
      <c r="R39" s="335">
        <f>IF(Calc_etu!AY23=1,"x","")</f>
      </c>
      <c r="S39" s="336"/>
      <c r="T39" s="15"/>
      <c r="U39" s="3"/>
      <c r="V39" s="3"/>
      <c r="W39" s="3"/>
      <c r="X39" s="420"/>
      <c r="Y39" s="1"/>
      <c r="Z39" s="55"/>
      <c r="AA39" s="55"/>
    </row>
    <row r="40" spans="1:27" ht="12.75">
      <c r="A40" s="3"/>
      <c r="B40" s="3"/>
      <c r="C40" s="1" t="s">
        <v>547</v>
      </c>
      <c r="D40" s="1"/>
      <c r="E40" s="1"/>
      <c r="F40" s="3"/>
      <c r="G40" s="3"/>
      <c r="H40" s="3"/>
      <c r="I40" s="3"/>
      <c r="J40" s="3"/>
      <c r="K40" s="3"/>
      <c r="L40" s="333">
        <f>IF(Calc_etu!O24=1,"x","")</f>
      </c>
      <c r="M40" s="3"/>
      <c r="N40" s="334">
        <f>IF(Calc_etu!AG24=1,"x","")</f>
      </c>
      <c r="O40" s="3"/>
      <c r="P40" s="3"/>
      <c r="Q40" s="3"/>
      <c r="R40" s="335">
        <f>IF(Calc_etu!AY24=1,"x","")</f>
      </c>
      <c r="S40" s="336"/>
      <c r="T40" s="15"/>
      <c r="U40" s="3"/>
      <c r="V40" s="3"/>
      <c r="W40" s="3"/>
      <c r="X40" s="420"/>
      <c r="Y40" s="1"/>
      <c r="Z40" s="55"/>
      <c r="AA40" s="55"/>
    </row>
    <row r="41" spans="1:27" ht="12.75">
      <c r="A41" s="3"/>
      <c r="B41" s="3"/>
      <c r="C41" s="3"/>
      <c r="D41" s="3"/>
      <c r="E41" s="3"/>
      <c r="F41" s="3"/>
      <c r="G41" s="3"/>
      <c r="H41" s="3"/>
      <c r="I41" s="3"/>
      <c r="J41" s="3"/>
      <c r="K41" s="3"/>
      <c r="L41" s="333"/>
      <c r="M41" s="3"/>
      <c r="N41" s="334"/>
      <c r="O41" s="3"/>
      <c r="P41" s="3"/>
      <c r="Q41" s="3"/>
      <c r="R41" s="335"/>
      <c r="S41" s="336"/>
      <c r="T41" s="15"/>
      <c r="U41" s="3"/>
      <c r="V41" s="3"/>
      <c r="W41" s="3"/>
      <c r="X41" s="420"/>
      <c r="Y41" s="1"/>
      <c r="Z41" s="55"/>
      <c r="AA41" s="55"/>
    </row>
    <row r="42" spans="1:27" ht="12.75" customHeight="1">
      <c r="A42" s="3"/>
      <c r="B42" s="3"/>
      <c r="C42" s="321" t="s">
        <v>44</v>
      </c>
      <c r="D42" s="13"/>
      <c r="E42" s="3"/>
      <c r="F42" s="3"/>
      <c r="G42" s="3"/>
      <c r="H42" s="3"/>
      <c r="I42" s="3"/>
      <c r="J42" s="3"/>
      <c r="K42" s="3"/>
      <c r="L42" s="333"/>
      <c r="M42" s="3"/>
      <c r="N42" s="334"/>
      <c r="O42" s="3"/>
      <c r="P42" s="3"/>
      <c r="Q42" s="3"/>
      <c r="R42" s="335"/>
      <c r="S42" s="336"/>
      <c r="T42" s="15"/>
      <c r="U42" s="3"/>
      <c r="V42" s="3"/>
      <c r="W42" s="3"/>
      <c r="X42" s="420"/>
      <c r="Y42" s="1"/>
      <c r="Z42" s="55"/>
      <c r="AA42" s="55"/>
    </row>
    <row r="43" spans="1:27" ht="12.75">
      <c r="A43" s="3">
        <v>4</v>
      </c>
      <c r="B43" s="3"/>
      <c r="C43" s="337" t="s">
        <v>45</v>
      </c>
      <c r="D43" s="3"/>
      <c r="E43" s="3"/>
      <c r="F43" s="3"/>
      <c r="G43" s="3"/>
      <c r="H43" s="3"/>
      <c r="I43" s="3"/>
      <c r="J43" s="3"/>
      <c r="K43" s="3"/>
      <c r="L43" s="333">
        <f>IF(Calc_etu!O79=1,"x","")</f>
      </c>
      <c r="M43" s="3"/>
      <c r="N43" s="334">
        <f>IF(Calc_etu!AG79=1,"x","")</f>
      </c>
      <c r="O43" s="3"/>
      <c r="P43" s="3"/>
      <c r="Q43" s="3"/>
      <c r="R43" s="335">
        <f>IF(Calc_etu!AY79=1,"x","")</f>
      </c>
      <c r="S43" s="336">
        <f>Calc_etu!BN79</f>
        <v>0</v>
      </c>
      <c r="T43" s="15"/>
      <c r="U43" s="3"/>
      <c r="V43" s="3"/>
      <c r="W43" s="3"/>
      <c r="X43" s="420"/>
      <c r="Y43" s="1"/>
      <c r="Z43" s="55"/>
      <c r="AA43" s="55"/>
    </row>
    <row r="44" spans="1:27" ht="12.75">
      <c r="A44" s="3">
        <v>5</v>
      </c>
      <c r="B44" s="3"/>
      <c r="C44" s="337" t="s">
        <v>302</v>
      </c>
      <c r="D44" s="3"/>
      <c r="E44" s="3"/>
      <c r="F44" s="3"/>
      <c r="G44" s="3"/>
      <c r="H44" s="3"/>
      <c r="I44" s="3"/>
      <c r="J44" s="3"/>
      <c r="K44" s="3"/>
      <c r="L44" s="333">
        <f>IF(Calc_etu!O80=1,"x","")</f>
      </c>
      <c r="M44" s="3"/>
      <c r="N44" s="334">
        <f>IF(Calc_etu!AG80=1,"x","")</f>
      </c>
      <c r="O44" s="3"/>
      <c r="P44" s="3"/>
      <c r="Q44" s="3"/>
      <c r="R44" s="335">
        <f>IF(Calc_etu!AY80=1,"x","")</f>
      </c>
      <c r="S44" s="336">
        <f>Calc_etu!BN80</f>
        <v>0</v>
      </c>
      <c r="T44" s="15"/>
      <c r="U44" s="3"/>
      <c r="V44" s="3"/>
      <c r="W44" s="3"/>
      <c r="X44" s="420"/>
      <c r="Y44" s="1"/>
      <c r="Z44" s="55"/>
      <c r="AA44" s="55"/>
    </row>
    <row r="45" spans="1:27" ht="12.75">
      <c r="A45" s="3">
        <v>6</v>
      </c>
      <c r="B45" s="3"/>
      <c r="C45" s="3" t="s">
        <v>47</v>
      </c>
      <c r="D45" s="3"/>
      <c r="E45" s="3"/>
      <c r="F45" s="3"/>
      <c r="G45" s="3"/>
      <c r="H45" s="3"/>
      <c r="I45" s="3"/>
      <c r="J45" s="3"/>
      <c r="K45" s="3"/>
      <c r="L45" s="333">
        <f>IF(Calc_etu!O89=1,"x","")</f>
      </c>
      <c r="M45" s="357" t="b">
        <v>0</v>
      </c>
      <c r="N45" s="334">
        <f>IF(Calc_etu!AG89=1,"x","")</f>
      </c>
      <c r="O45" s="3"/>
      <c r="P45" s="3"/>
      <c r="Q45" s="3"/>
      <c r="R45" s="335">
        <f>IF(Calc_etu!AY89=1,"x","")</f>
      </c>
      <c r="S45" s="336">
        <f>Calc_etu!BN89</f>
        <v>0</v>
      </c>
      <c r="T45" s="15"/>
      <c r="U45" s="3"/>
      <c r="V45" s="3"/>
      <c r="W45" s="3"/>
      <c r="X45" s="340"/>
      <c r="Y45" s="1"/>
      <c r="Z45" s="55"/>
      <c r="AA45" s="55"/>
    </row>
    <row r="46" spans="1:27" ht="12.75">
      <c r="A46" s="3">
        <v>7</v>
      </c>
      <c r="B46" s="3"/>
      <c r="C46" s="3" t="s">
        <v>48</v>
      </c>
      <c r="D46" s="3"/>
      <c r="E46" s="3"/>
      <c r="F46" s="3"/>
      <c r="G46" s="3"/>
      <c r="H46" s="3"/>
      <c r="I46" s="3"/>
      <c r="J46" s="3"/>
      <c r="K46" s="3"/>
      <c r="L46" s="333">
        <f>IF(Calc_etu!O90=1,"x","")</f>
      </c>
      <c r="M46" s="357" t="b">
        <v>0</v>
      </c>
      <c r="N46" s="334">
        <f>IF(Calc_etu!AG90=1,"x","")</f>
      </c>
      <c r="O46" s="3"/>
      <c r="P46" s="3"/>
      <c r="Q46" s="3"/>
      <c r="R46" s="335">
        <f>IF(Calc_etu!AY90=1,"x","")</f>
      </c>
      <c r="S46" s="336">
        <f>Calc_etu!BN90</f>
        <v>0</v>
      </c>
      <c r="T46" s="15"/>
      <c r="U46" s="3"/>
      <c r="V46" s="3"/>
      <c r="W46" s="3"/>
      <c r="X46" s="321" t="s">
        <v>569</v>
      </c>
      <c r="Y46" s="1"/>
      <c r="Z46" s="55"/>
      <c r="AA46" s="55"/>
    </row>
    <row r="47" spans="1:27" ht="12.75" customHeight="1">
      <c r="A47" s="3"/>
      <c r="B47" s="3"/>
      <c r="C47" s="3"/>
      <c r="D47" s="3"/>
      <c r="E47" s="3"/>
      <c r="F47" s="3"/>
      <c r="G47" s="3"/>
      <c r="H47" s="3"/>
      <c r="I47" s="3"/>
      <c r="J47" s="14"/>
      <c r="K47" s="3"/>
      <c r="L47" s="327"/>
      <c r="M47" s="3"/>
      <c r="N47" s="334"/>
      <c r="O47" s="3"/>
      <c r="P47" s="3"/>
      <c r="Q47" s="3"/>
      <c r="R47" s="335"/>
      <c r="S47" s="336"/>
      <c r="T47" s="15"/>
      <c r="U47" s="3"/>
      <c r="V47" s="3"/>
      <c r="W47" s="3"/>
      <c r="X47" s="420" t="s">
        <v>570</v>
      </c>
      <c r="Y47" s="1"/>
      <c r="Z47" s="55"/>
      <c r="AA47" s="55"/>
    </row>
    <row r="48" spans="1:27" ht="12.75">
      <c r="A48" s="3"/>
      <c r="B48" s="3"/>
      <c r="C48" s="427" t="s">
        <v>316</v>
      </c>
      <c r="D48" s="427"/>
      <c r="E48" s="332"/>
      <c r="F48" s="3"/>
      <c r="G48" s="3"/>
      <c r="H48" s="338" t="s">
        <v>93</v>
      </c>
      <c r="I48" s="3"/>
      <c r="J48" s="3"/>
      <c r="K48" s="3"/>
      <c r="L48" s="327"/>
      <c r="M48" s="3"/>
      <c r="N48" s="330"/>
      <c r="O48" s="3"/>
      <c r="P48" s="3"/>
      <c r="Q48" s="3"/>
      <c r="R48" s="331"/>
      <c r="S48" s="336"/>
      <c r="T48" s="15"/>
      <c r="U48" s="3"/>
      <c r="V48" s="3"/>
      <c r="W48" s="3"/>
      <c r="X48" s="420"/>
      <c r="Y48" s="1"/>
      <c r="Z48" s="55"/>
      <c r="AA48" s="55"/>
    </row>
    <row r="49" spans="1:27" ht="12.75">
      <c r="A49" s="3">
        <v>8</v>
      </c>
      <c r="B49" s="3"/>
      <c r="C49" s="3" t="s">
        <v>49</v>
      </c>
      <c r="D49" s="3"/>
      <c r="E49" s="3"/>
      <c r="F49" s="3"/>
      <c r="G49" s="3"/>
      <c r="H49" s="14"/>
      <c r="I49" s="3"/>
      <c r="J49" s="3"/>
      <c r="K49" s="3"/>
      <c r="L49" s="333">
        <f>IF(Calc_etu!BG83=1,"x","")</f>
      </c>
      <c r="M49" s="355" t="b">
        <v>0</v>
      </c>
      <c r="N49" s="330"/>
      <c r="O49" s="3"/>
      <c r="P49" s="3"/>
      <c r="Q49" s="3"/>
      <c r="R49" s="331"/>
      <c r="S49" s="336">
        <f>Calc_etu!BN83</f>
        <v>0</v>
      </c>
      <c r="T49" s="15"/>
      <c r="U49" s="3"/>
      <c r="V49" s="3"/>
      <c r="W49" s="3"/>
      <c r="X49" s="420"/>
      <c r="Y49" s="1"/>
      <c r="Z49" s="55"/>
      <c r="AA49" s="55"/>
    </row>
    <row r="50" spans="1:27" ht="12.75" customHeight="1">
      <c r="A50" s="3">
        <v>9</v>
      </c>
      <c r="B50" s="3"/>
      <c r="C50" s="3" t="s">
        <v>50</v>
      </c>
      <c r="D50" s="3"/>
      <c r="E50" s="3"/>
      <c r="F50" s="3"/>
      <c r="G50" s="3"/>
      <c r="H50" s="14"/>
      <c r="I50" s="3"/>
      <c r="J50" s="3"/>
      <c r="K50" s="3"/>
      <c r="L50" s="333">
        <f>IF(Calc_etu!BG84=1,"x","")</f>
      </c>
      <c r="M50" s="355" t="b">
        <v>0</v>
      </c>
      <c r="N50" s="330"/>
      <c r="O50" s="3"/>
      <c r="P50" s="3"/>
      <c r="Q50" s="3"/>
      <c r="R50" s="331"/>
      <c r="S50" s="336">
        <f>Calc_etu!BN84</f>
        <v>0</v>
      </c>
      <c r="T50" s="15"/>
      <c r="U50" s="3"/>
      <c r="V50" s="3"/>
      <c r="W50" s="3"/>
      <c r="X50" s="420"/>
      <c r="Y50" s="1"/>
      <c r="Z50" s="55"/>
      <c r="AA50" s="55"/>
    </row>
    <row r="51" spans="1:27" ht="12.75">
      <c r="A51" s="3">
        <v>10</v>
      </c>
      <c r="B51" s="3"/>
      <c r="C51" s="3" t="s">
        <v>51</v>
      </c>
      <c r="D51" s="3"/>
      <c r="E51" s="3"/>
      <c r="F51" s="3"/>
      <c r="G51" s="3"/>
      <c r="H51" s="14"/>
      <c r="I51" s="3"/>
      <c r="J51" s="3"/>
      <c r="K51" s="3"/>
      <c r="L51" s="333">
        <f>IF(Calc_etu!BG85=1,"x","")</f>
      </c>
      <c r="M51" s="355" t="b">
        <v>0</v>
      </c>
      <c r="N51" s="330"/>
      <c r="O51" s="3"/>
      <c r="P51" s="3"/>
      <c r="Q51" s="3"/>
      <c r="R51" s="331"/>
      <c r="S51" s="336">
        <f>Calc_etu!BN85</f>
        <v>0</v>
      </c>
      <c r="T51" s="15"/>
      <c r="U51" s="3"/>
      <c r="V51" s="3"/>
      <c r="W51" s="3"/>
      <c r="X51" s="420"/>
      <c r="Y51" s="1"/>
      <c r="Z51" s="55"/>
      <c r="AA51" s="55"/>
    </row>
    <row r="52" spans="1:27" ht="12.75">
      <c r="A52" s="3">
        <v>11</v>
      </c>
      <c r="B52" s="3"/>
      <c r="C52" s="422" t="s">
        <v>304</v>
      </c>
      <c r="D52" s="422"/>
      <c r="E52" s="3"/>
      <c r="F52" s="3"/>
      <c r="G52" s="3"/>
      <c r="H52" s="14"/>
      <c r="I52" s="3"/>
      <c r="J52" s="3"/>
      <c r="K52" s="3"/>
      <c r="L52" s="333">
        <f>IF(Calc_etu!BG86=1,"x","")</f>
      </c>
      <c r="M52" s="355" t="b">
        <v>0</v>
      </c>
      <c r="N52" s="330"/>
      <c r="O52" s="3"/>
      <c r="P52" s="3"/>
      <c r="Q52" s="3"/>
      <c r="R52" s="331"/>
      <c r="S52" s="336">
        <f>Calc_etu!BN86</f>
        <v>0</v>
      </c>
      <c r="T52" s="15"/>
      <c r="U52" s="3"/>
      <c r="V52" s="3"/>
      <c r="W52" s="3"/>
      <c r="X52" s="420"/>
      <c r="Y52" s="1"/>
      <c r="Z52" s="55"/>
      <c r="AA52" s="55"/>
    </row>
    <row r="53" spans="1:27" ht="12.75">
      <c r="A53" s="3">
        <v>12</v>
      </c>
      <c r="B53" s="3"/>
      <c r="C53" s="3" t="s">
        <v>53</v>
      </c>
      <c r="D53" s="3"/>
      <c r="E53" s="3"/>
      <c r="F53" s="3"/>
      <c r="G53" s="3"/>
      <c r="H53" s="14"/>
      <c r="I53" s="3"/>
      <c r="J53" s="3"/>
      <c r="K53" s="3"/>
      <c r="L53" s="333">
        <f>IF(Calc_etu!BG87=1,"x","")</f>
      </c>
      <c r="M53" s="355" t="b">
        <v>0</v>
      </c>
      <c r="N53" s="330"/>
      <c r="O53" s="3"/>
      <c r="P53" s="3"/>
      <c r="Q53" s="3"/>
      <c r="R53" s="331"/>
      <c r="S53" s="336">
        <f>Calc_etu!BN87</f>
        <v>0</v>
      </c>
      <c r="T53" s="15"/>
      <c r="U53" s="3"/>
      <c r="V53" s="3"/>
      <c r="W53" s="3"/>
      <c r="X53" s="420"/>
      <c r="Y53" s="1"/>
      <c r="Z53" s="55"/>
      <c r="AA53" s="55"/>
    </row>
    <row r="54" spans="1:27" ht="12.75">
      <c r="A54" s="3">
        <v>13</v>
      </c>
      <c r="B54" s="3"/>
      <c r="C54" s="3" t="s">
        <v>305</v>
      </c>
      <c r="D54" s="3"/>
      <c r="E54" s="3"/>
      <c r="F54" s="3"/>
      <c r="G54" s="3"/>
      <c r="H54" s="14"/>
      <c r="I54" s="3"/>
      <c r="J54" s="3"/>
      <c r="K54" s="3"/>
      <c r="L54" s="333">
        <f>IF(Calc_etu!BG88=1,"x","")</f>
      </c>
      <c r="M54" s="355" t="b">
        <v>0</v>
      </c>
      <c r="N54" s="330"/>
      <c r="O54" s="3"/>
      <c r="P54" s="3"/>
      <c r="Q54" s="3"/>
      <c r="R54" s="331"/>
      <c r="S54" s="336">
        <f>Calc_etu!BN88</f>
        <v>0</v>
      </c>
      <c r="T54" s="15"/>
      <c r="U54" s="3"/>
      <c r="V54" s="3"/>
      <c r="W54" s="3"/>
      <c r="X54" s="420"/>
      <c r="Y54" s="1"/>
      <c r="Z54" s="55"/>
      <c r="AA54" s="55"/>
    </row>
    <row r="55" spans="1:27" ht="12.75">
      <c r="A55" s="3">
        <v>14</v>
      </c>
      <c r="B55" s="3"/>
      <c r="C55" s="3" t="s">
        <v>55</v>
      </c>
      <c r="D55" s="3"/>
      <c r="E55" s="3"/>
      <c r="F55" s="3"/>
      <c r="G55" s="3"/>
      <c r="H55" s="14"/>
      <c r="I55" s="3"/>
      <c r="J55" s="3"/>
      <c r="K55" s="3"/>
      <c r="L55" s="333">
        <f>IF(Calc_etu!BG92=1,"x","")</f>
      </c>
      <c r="M55" s="355" t="b">
        <v>0</v>
      </c>
      <c r="N55" s="330"/>
      <c r="O55" s="3"/>
      <c r="P55" s="3"/>
      <c r="Q55" s="3"/>
      <c r="R55" s="331"/>
      <c r="S55" s="336">
        <f>Calc_etu!BN92</f>
        <v>0</v>
      </c>
      <c r="T55" s="15"/>
      <c r="U55" s="3"/>
      <c r="V55" s="3"/>
      <c r="W55" s="3"/>
      <c r="X55" s="420"/>
      <c r="Y55" s="1"/>
      <c r="Z55" s="55"/>
      <c r="AA55" s="55"/>
    </row>
    <row r="56" spans="1:27" ht="12.75">
      <c r="A56" s="3">
        <v>15</v>
      </c>
      <c r="B56" s="3"/>
      <c r="C56" s="422" t="s">
        <v>56</v>
      </c>
      <c r="D56" s="422"/>
      <c r="E56" s="3"/>
      <c r="F56" s="3"/>
      <c r="G56" s="3"/>
      <c r="H56" s="14"/>
      <c r="I56" s="3"/>
      <c r="J56" s="3"/>
      <c r="K56" s="3"/>
      <c r="L56" s="333">
        <f>IF(Calc_etu!BG91=1,"x","")</f>
      </c>
      <c r="M56" s="355" t="b">
        <v>0</v>
      </c>
      <c r="N56" s="330"/>
      <c r="O56" s="3"/>
      <c r="P56" s="3"/>
      <c r="Q56" s="3"/>
      <c r="R56" s="331"/>
      <c r="S56" s="336">
        <f>Calc_etu!BN91</f>
        <v>0</v>
      </c>
      <c r="T56" s="15"/>
      <c r="U56" s="3"/>
      <c r="V56" s="3"/>
      <c r="W56" s="3"/>
      <c r="X56" s="420"/>
      <c r="Y56" s="1"/>
      <c r="Z56" s="55"/>
      <c r="AA56" s="55"/>
    </row>
    <row r="57" spans="1:27" ht="12.75">
      <c r="A57" s="3">
        <v>16</v>
      </c>
      <c r="B57" s="3"/>
      <c r="C57" s="428" t="s">
        <v>306</v>
      </c>
      <c r="D57" s="428"/>
      <c r="E57" s="3"/>
      <c r="F57" s="3"/>
      <c r="G57" s="17"/>
      <c r="H57" s="16"/>
      <c r="I57" s="3"/>
      <c r="J57" s="3"/>
      <c r="K57" s="3"/>
      <c r="L57" s="333">
        <f>IF(Calc_etu!BG93=1,"x","")</f>
      </c>
      <c r="M57" s="355" t="b">
        <v>0</v>
      </c>
      <c r="N57" s="334"/>
      <c r="O57" s="3"/>
      <c r="P57" s="3"/>
      <c r="Q57" s="3"/>
      <c r="R57" s="335"/>
      <c r="S57" s="336">
        <f>Calc_etu!BN93</f>
        <v>0</v>
      </c>
      <c r="T57" s="15"/>
      <c r="U57" s="3"/>
      <c r="V57" s="3"/>
      <c r="W57" s="3"/>
      <c r="X57" s="420"/>
      <c r="Y57" s="1"/>
      <c r="Z57" s="55"/>
      <c r="AA57" s="55"/>
    </row>
    <row r="58" spans="1:27" ht="12.75">
      <c r="A58" s="3">
        <v>17</v>
      </c>
      <c r="B58" s="3"/>
      <c r="C58" s="422" t="s">
        <v>57</v>
      </c>
      <c r="D58" s="422"/>
      <c r="E58" s="3"/>
      <c r="F58" s="3"/>
      <c r="G58" s="3"/>
      <c r="H58" s="14"/>
      <c r="I58" s="3"/>
      <c r="J58" s="3"/>
      <c r="K58" s="3"/>
      <c r="L58" s="333">
        <f>IF(Calc_etu!BG94=1,"x","")</f>
      </c>
      <c r="M58" s="355" t="b">
        <v>0</v>
      </c>
      <c r="N58" s="330"/>
      <c r="O58" s="3"/>
      <c r="P58" s="3"/>
      <c r="Q58" s="3"/>
      <c r="R58" s="331"/>
      <c r="S58" s="336">
        <f>Calc_etu!BN94</f>
        <v>0</v>
      </c>
      <c r="T58" s="15"/>
      <c r="U58" s="3"/>
      <c r="V58" s="3"/>
      <c r="W58" s="3"/>
      <c r="X58" s="420"/>
      <c r="Y58" s="1"/>
      <c r="Z58" s="55"/>
      <c r="AA58" s="55"/>
    </row>
    <row r="59" spans="1:27" ht="12.75">
      <c r="A59" s="3">
        <v>18</v>
      </c>
      <c r="B59" s="3"/>
      <c r="C59" s="422" t="s">
        <v>307</v>
      </c>
      <c r="D59" s="422"/>
      <c r="E59" s="3"/>
      <c r="F59" s="3"/>
      <c r="G59" s="3"/>
      <c r="H59" s="14"/>
      <c r="I59" s="3"/>
      <c r="J59" s="3"/>
      <c r="K59" s="3"/>
      <c r="L59" s="333">
        <f>IF(Calc_etu!BG95=1,"x","")</f>
      </c>
      <c r="M59" s="355" t="b">
        <v>0</v>
      </c>
      <c r="N59" s="330"/>
      <c r="O59" s="3"/>
      <c r="P59" s="3"/>
      <c r="Q59" s="3"/>
      <c r="R59" s="331"/>
      <c r="S59" s="336">
        <f>Calc_etu!BN95</f>
        <v>0</v>
      </c>
      <c r="T59" s="15"/>
      <c r="U59" s="3"/>
      <c r="V59" s="3"/>
      <c r="W59" s="3"/>
      <c r="X59" s="420"/>
      <c r="Y59" s="1"/>
      <c r="Z59" s="55"/>
      <c r="AA59" s="55"/>
    </row>
    <row r="60" spans="1:27" ht="12.75">
      <c r="A60" s="3">
        <v>19</v>
      </c>
      <c r="B60" s="3"/>
      <c r="C60" s="422" t="s">
        <v>99</v>
      </c>
      <c r="D60" s="422"/>
      <c r="E60" s="3"/>
      <c r="F60" s="3"/>
      <c r="G60" s="3"/>
      <c r="H60" s="14"/>
      <c r="I60" s="3"/>
      <c r="J60" s="3"/>
      <c r="K60" s="3"/>
      <c r="L60" s="333">
        <f>IF(Calc_etu!BG96=1,"x","")</f>
      </c>
      <c r="M60" s="355" t="b">
        <v>0</v>
      </c>
      <c r="N60" s="330"/>
      <c r="O60" s="3"/>
      <c r="P60" s="3"/>
      <c r="Q60" s="3"/>
      <c r="R60" s="331"/>
      <c r="S60" s="336">
        <f>Calc_etu!BN96</f>
        <v>0</v>
      </c>
      <c r="T60" s="15"/>
      <c r="U60" s="3"/>
      <c r="V60" s="3"/>
      <c r="W60" s="3"/>
      <c r="X60" s="420"/>
      <c r="Y60" s="1"/>
      <c r="Z60" s="55"/>
      <c r="AA60" s="55"/>
    </row>
    <row r="61" spans="1:27" ht="12.75">
      <c r="A61" s="3"/>
      <c r="B61" s="3"/>
      <c r="C61" s="3" t="s">
        <v>97</v>
      </c>
      <c r="D61" s="3"/>
      <c r="E61" s="3"/>
      <c r="F61" s="3"/>
      <c r="G61" s="3"/>
      <c r="H61" s="16"/>
      <c r="I61" s="3"/>
      <c r="J61" s="3"/>
      <c r="K61" s="3"/>
      <c r="L61" s="327"/>
      <c r="M61" s="5"/>
      <c r="N61" s="330"/>
      <c r="O61" s="3"/>
      <c r="P61" s="3"/>
      <c r="Q61" s="3"/>
      <c r="R61" s="331"/>
      <c r="S61" s="336"/>
      <c r="T61" s="15"/>
      <c r="U61" s="3"/>
      <c r="V61" s="3"/>
      <c r="W61" s="3"/>
      <c r="X61" s="3"/>
      <c r="Y61" s="1"/>
      <c r="Z61" s="55"/>
      <c r="AA61" s="55"/>
    </row>
    <row r="62" spans="1:27" ht="12.75" customHeight="1">
      <c r="A62" s="3"/>
      <c r="B62" s="3"/>
      <c r="C62" s="3"/>
      <c r="D62" s="3"/>
      <c r="E62" s="3"/>
      <c r="F62" s="3"/>
      <c r="G62" s="3"/>
      <c r="H62" s="16"/>
      <c r="I62" s="3"/>
      <c r="J62" s="3"/>
      <c r="K62" s="3"/>
      <c r="L62" s="327"/>
      <c r="M62" s="5"/>
      <c r="N62" s="330"/>
      <c r="O62" s="3"/>
      <c r="P62" s="3"/>
      <c r="Q62" s="3"/>
      <c r="R62" s="331"/>
      <c r="S62" s="336"/>
      <c r="T62" s="15"/>
      <c r="U62" s="3"/>
      <c r="V62" s="3"/>
      <c r="W62" s="3"/>
      <c r="X62" s="321" t="s">
        <v>532</v>
      </c>
      <c r="Y62" s="1"/>
      <c r="Z62" s="55"/>
      <c r="AA62" s="55"/>
    </row>
    <row r="63" spans="1:27" ht="18" customHeight="1">
      <c r="A63" s="3"/>
      <c r="B63" s="3"/>
      <c r="C63" s="318" t="s">
        <v>1</v>
      </c>
      <c r="D63" s="339"/>
      <c r="E63" s="3"/>
      <c r="F63" s="3"/>
      <c r="G63" s="3"/>
      <c r="H63" s="14"/>
      <c r="I63" s="3"/>
      <c r="J63" s="3"/>
      <c r="K63" s="3"/>
      <c r="L63" s="327"/>
      <c r="M63" s="3"/>
      <c r="N63" s="334"/>
      <c r="O63" s="3"/>
      <c r="P63" s="3"/>
      <c r="Q63" s="3"/>
      <c r="R63" s="335"/>
      <c r="S63" s="336"/>
      <c r="T63" s="15"/>
      <c r="U63" s="3"/>
      <c r="V63" s="3"/>
      <c r="W63" s="3"/>
      <c r="X63" s="420" t="s">
        <v>566</v>
      </c>
      <c r="Y63" s="1"/>
      <c r="Z63" s="55"/>
      <c r="AA63" s="55"/>
    </row>
    <row r="64" spans="1:27" ht="15" customHeight="1">
      <c r="A64" s="423" t="s">
        <v>414</v>
      </c>
      <c r="B64" s="423"/>
      <c r="C64" s="423"/>
      <c r="D64" s="423"/>
      <c r="E64" s="423"/>
      <c r="F64" s="423"/>
      <c r="G64" s="423"/>
      <c r="H64" s="14"/>
      <c r="I64" s="3"/>
      <c r="J64" s="3"/>
      <c r="K64" s="323">
        <f>IF(Q64=TRUE,"Module désactivé","")</f>
      </c>
      <c r="L64" s="327"/>
      <c r="M64" s="3"/>
      <c r="N64" s="334"/>
      <c r="O64" s="3"/>
      <c r="P64" s="3"/>
      <c r="Q64" s="357" t="b">
        <v>0</v>
      </c>
      <c r="R64" s="335"/>
      <c r="S64" s="336"/>
      <c r="T64" s="15"/>
      <c r="U64" s="3"/>
      <c r="V64" s="3"/>
      <c r="W64" s="3"/>
      <c r="X64" s="420"/>
      <c r="Y64" s="1"/>
      <c r="Z64" s="55"/>
      <c r="AA64" s="55"/>
    </row>
    <row r="65" spans="1:27" ht="7.5" customHeight="1">
      <c r="A65" s="3"/>
      <c r="B65" s="3"/>
      <c r="C65" s="318"/>
      <c r="D65" s="339"/>
      <c r="E65" s="3"/>
      <c r="F65" s="3"/>
      <c r="G65" s="3"/>
      <c r="H65" s="14"/>
      <c r="I65" s="3"/>
      <c r="J65" s="3"/>
      <c r="K65" s="3"/>
      <c r="L65" s="327"/>
      <c r="M65" s="3"/>
      <c r="N65" s="334"/>
      <c r="O65" s="3"/>
      <c r="P65" s="3"/>
      <c r="Q65" s="3"/>
      <c r="R65" s="335"/>
      <c r="S65" s="336"/>
      <c r="T65" s="15"/>
      <c r="U65" s="3"/>
      <c r="V65" s="3"/>
      <c r="W65" s="3"/>
      <c r="X65" s="420"/>
      <c r="Y65" s="1"/>
      <c r="Z65" s="55"/>
      <c r="AA65" s="55"/>
    </row>
    <row r="66" spans="1:27" ht="12.75">
      <c r="A66" s="3"/>
      <c r="B66" s="3"/>
      <c r="C66" s="321" t="s">
        <v>44</v>
      </c>
      <c r="D66" s="3"/>
      <c r="E66" s="3"/>
      <c r="F66" s="3"/>
      <c r="G66" s="3"/>
      <c r="H66" s="14"/>
      <c r="I66" s="3"/>
      <c r="J66" s="3"/>
      <c r="K66" s="3"/>
      <c r="L66" s="327"/>
      <c r="M66" s="3"/>
      <c r="N66" s="334"/>
      <c r="O66" s="3"/>
      <c r="P66" s="3"/>
      <c r="Q66" s="3"/>
      <c r="R66" s="335"/>
      <c r="S66" s="336"/>
      <c r="T66" s="15"/>
      <c r="U66" s="3"/>
      <c r="V66" s="3"/>
      <c r="W66" s="3"/>
      <c r="X66" s="420"/>
      <c r="Y66" s="1"/>
      <c r="Z66" s="55"/>
      <c r="AA66" s="55"/>
    </row>
    <row r="67" spans="1:27" ht="12.75">
      <c r="A67" s="3">
        <v>20</v>
      </c>
      <c r="B67" s="3"/>
      <c r="C67" s="337" t="s">
        <v>45</v>
      </c>
      <c r="D67" s="3"/>
      <c r="E67" s="3"/>
      <c r="F67" s="3"/>
      <c r="G67" s="3"/>
      <c r="H67" s="3"/>
      <c r="I67" s="3"/>
      <c r="J67" s="3"/>
      <c r="K67" s="3"/>
      <c r="L67" s="333">
        <f>IF(Calc_etu!O100=1,"x","")</f>
      </c>
      <c r="M67" s="3"/>
      <c r="N67" s="334">
        <f>IF(Calc_etu!AG100=1,"x","")</f>
      </c>
      <c r="O67" s="3"/>
      <c r="P67" s="3"/>
      <c r="Q67" s="3"/>
      <c r="R67" s="335">
        <f>IF(Calc_etu!AY100=1,"x","")</f>
      </c>
      <c r="S67" s="336">
        <f>Calc_etu!BN100</f>
        <v>0</v>
      </c>
      <c r="T67" s="15"/>
      <c r="U67" s="3"/>
      <c r="V67" s="3"/>
      <c r="W67" s="3"/>
      <c r="X67" s="420"/>
      <c r="Y67" s="1"/>
      <c r="Z67" s="55"/>
      <c r="AA67" s="55"/>
    </row>
    <row r="68" spans="1:27" ht="12.75">
      <c r="A68" s="3">
        <v>21</v>
      </c>
      <c r="B68" s="3"/>
      <c r="C68" s="426" t="s">
        <v>317</v>
      </c>
      <c r="D68" s="426"/>
      <c r="E68" s="3"/>
      <c r="F68" s="3"/>
      <c r="G68" s="3"/>
      <c r="H68" s="3"/>
      <c r="I68" s="3"/>
      <c r="J68" s="3"/>
      <c r="K68" s="3"/>
      <c r="L68" s="333">
        <f>IF(Calc_etu!O101=1,"x","")</f>
      </c>
      <c r="M68" s="3"/>
      <c r="N68" s="334">
        <f>IF(Calc_etu!AG101=1,"x","")</f>
      </c>
      <c r="O68" s="3"/>
      <c r="P68" s="3"/>
      <c r="Q68" s="3"/>
      <c r="R68" s="335">
        <f>IF(Calc_etu!AY101=1,"x","")</f>
      </c>
      <c r="S68" s="336">
        <f>Calc_etu!BN101</f>
        <v>0</v>
      </c>
      <c r="T68" s="15"/>
      <c r="U68" s="3"/>
      <c r="V68" s="3"/>
      <c r="W68" s="3"/>
      <c r="X68" s="420"/>
      <c r="Y68" s="1"/>
      <c r="Z68" s="55"/>
      <c r="AA68" s="55"/>
    </row>
    <row r="69" spans="1:27" ht="12.75" customHeight="1">
      <c r="A69" s="3"/>
      <c r="B69" s="3"/>
      <c r="C69" s="3"/>
      <c r="D69" s="3"/>
      <c r="E69" s="3"/>
      <c r="F69" s="3"/>
      <c r="G69" s="3"/>
      <c r="H69" s="14"/>
      <c r="I69" s="3"/>
      <c r="J69" s="3"/>
      <c r="K69" s="3"/>
      <c r="L69" s="327"/>
      <c r="M69" s="3"/>
      <c r="N69" s="334"/>
      <c r="O69" s="3"/>
      <c r="P69" s="3"/>
      <c r="Q69" s="3"/>
      <c r="R69" s="335"/>
      <c r="S69" s="336"/>
      <c r="T69" s="15"/>
      <c r="U69" s="3"/>
      <c r="V69" s="3"/>
      <c r="W69" s="3"/>
      <c r="X69" s="420"/>
      <c r="Y69" s="1"/>
      <c r="Z69" s="55"/>
      <c r="AA69" s="55"/>
    </row>
    <row r="70" spans="1:27" ht="12.75" customHeight="1">
      <c r="A70" s="3"/>
      <c r="B70" s="3"/>
      <c r="C70" s="321" t="s">
        <v>316</v>
      </c>
      <c r="D70" s="3"/>
      <c r="E70" s="3"/>
      <c r="F70" s="3"/>
      <c r="G70" s="3"/>
      <c r="H70" s="14"/>
      <c r="I70" s="3"/>
      <c r="J70" s="3"/>
      <c r="K70" s="3"/>
      <c r="L70" s="327"/>
      <c r="M70" s="3"/>
      <c r="N70" s="334"/>
      <c r="O70" s="3"/>
      <c r="P70" s="3"/>
      <c r="Q70" s="3"/>
      <c r="R70" s="335"/>
      <c r="S70" s="336"/>
      <c r="T70" s="15"/>
      <c r="U70" s="3"/>
      <c r="V70" s="3"/>
      <c r="W70" s="3"/>
      <c r="X70" s="420"/>
      <c r="Y70" s="1"/>
      <c r="Z70" s="55"/>
      <c r="AA70" s="55"/>
    </row>
    <row r="71" spans="1:27" ht="12.75">
      <c r="A71" s="3">
        <v>22</v>
      </c>
      <c r="B71" s="3"/>
      <c r="C71" s="422" t="s">
        <v>311</v>
      </c>
      <c r="D71" s="422"/>
      <c r="E71" s="3"/>
      <c r="F71" s="3"/>
      <c r="G71" s="3"/>
      <c r="H71" s="14"/>
      <c r="I71" s="3"/>
      <c r="J71" s="3"/>
      <c r="K71" s="3"/>
      <c r="L71" s="333">
        <f>IF(Calc_etu!BG102=1,"x","")</f>
      </c>
      <c r="M71" s="355" t="b">
        <v>0</v>
      </c>
      <c r="N71" s="330"/>
      <c r="O71" s="3"/>
      <c r="P71" s="3"/>
      <c r="Q71" s="3"/>
      <c r="R71" s="335"/>
      <c r="S71" s="336">
        <f>Calc_etu!BN102</f>
        <v>0</v>
      </c>
      <c r="T71" s="15"/>
      <c r="U71" s="3"/>
      <c r="V71" s="3"/>
      <c r="W71" s="3"/>
      <c r="X71" s="420"/>
      <c r="Y71" s="1"/>
      <c r="Z71" s="55"/>
      <c r="AA71" s="55"/>
    </row>
    <row r="72" spans="1:27" ht="12.75">
      <c r="A72" s="3">
        <v>23</v>
      </c>
      <c r="B72" s="3"/>
      <c r="C72" s="426" t="s">
        <v>308</v>
      </c>
      <c r="D72" s="426"/>
      <c r="E72" s="3"/>
      <c r="F72" s="3"/>
      <c r="G72" s="3"/>
      <c r="H72" s="14"/>
      <c r="I72" s="3"/>
      <c r="J72" s="3"/>
      <c r="K72" s="3"/>
      <c r="L72" s="333">
        <f>IF(Calc_etu!BG103=1,"x","")</f>
      </c>
      <c r="M72" s="355" t="b">
        <v>0</v>
      </c>
      <c r="N72" s="330"/>
      <c r="O72" s="3"/>
      <c r="P72" s="3"/>
      <c r="Q72" s="3"/>
      <c r="R72" s="335"/>
      <c r="S72" s="336">
        <f>Calc_etu!BN103</f>
        <v>0</v>
      </c>
      <c r="T72" s="15"/>
      <c r="U72" s="3"/>
      <c r="V72" s="3"/>
      <c r="W72" s="3"/>
      <c r="X72" s="420"/>
      <c r="Y72" s="1"/>
      <c r="Z72" s="55"/>
      <c r="AA72" s="55"/>
    </row>
    <row r="73" spans="1:27" ht="12.75">
      <c r="A73" s="3">
        <v>24</v>
      </c>
      <c r="B73" s="3"/>
      <c r="C73" s="3" t="s">
        <v>310</v>
      </c>
      <c r="D73" s="3"/>
      <c r="E73" s="3"/>
      <c r="F73" s="3"/>
      <c r="G73" s="3"/>
      <c r="H73" s="14"/>
      <c r="I73" s="3"/>
      <c r="J73" s="3"/>
      <c r="K73" s="3"/>
      <c r="L73" s="333">
        <f>IF(Calc_etu!BG104=1,"x","")</f>
      </c>
      <c r="M73" s="355" t="b">
        <v>0</v>
      </c>
      <c r="N73" s="330"/>
      <c r="O73" s="3"/>
      <c r="P73" s="3"/>
      <c r="Q73" s="3"/>
      <c r="R73" s="335"/>
      <c r="S73" s="336">
        <f>Calc_etu!BN104</f>
        <v>0</v>
      </c>
      <c r="T73" s="15"/>
      <c r="U73" s="3"/>
      <c r="V73" s="3"/>
      <c r="W73" s="3"/>
      <c r="X73" s="340"/>
      <c r="Y73" s="1"/>
      <c r="Z73" s="55"/>
      <c r="AA73" s="55"/>
    </row>
    <row r="74" spans="1:27" ht="12.75" customHeight="1">
      <c r="A74" s="3">
        <v>25</v>
      </c>
      <c r="B74" s="3"/>
      <c r="C74" s="422" t="s">
        <v>309</v>
      </c>
      <c r="D74" s="422"/>
      <c r="E74" s="3"/>
      <c r="F74" s="3"/>
      <c r="G74" s="3"/>
      <c r="H74" s="14"/>
      <c r="I74" s="3"/>
      <c r="J74" s="3"/>
      <c r="K74" s="3"/>
      <c r="L74" s="333">
        <f>IF(Calc_etu!BG105=1,"x","")</f>
      </c>
      <c r="M74" s="355" t="b">
        <v>0</v>
      </c>
      <c r="N74" s="330"/>
      <c r="O74" s="3"/>
      <c r="P74" s="3"/>
      <c r="Q74" s="3"/>
      <c r="R74" s="335"/>
      <c r="S74" s="336">
        <f>Calc_etu!BN105</f>
        <v>0</v>
      </c>
      <c r="T74" s="15"/>
      <c r="U74" s="3"/>
      <c r="V74" s="3"/>
      <c r="W74" s="3"/>
      <c r="X74" s="321" t="s">
        <v>533</v>
      </c>
      <c r="Y74" s="1"/>
      <c r="Z74" s="55"/>
      <c r="AA74" s="55"/>
    </row>
    <row r="75" spans="1:27" ht="12.75" customHeight="1">
      <c r="A75" s="3"/>
      <c r="B75" s="3"/>
      <c r="C75" s="3"/>
      <c r="D75" s="3"/>
      <c r="E75" s="3"/>
      <c r="F75" s="3"/>
      <c r="G75" s="3"/>
      <c r="H75" s="14"/>
      <c r="I75" s="3"/>
      <c r="J75" s="3"/>
      <c r="K75" s="3"/>
      <c r="L75" s="327"/>
      <c r="M75" s="3"/>
      <c r="N75" s="334"/>
      <c r="O75" s="3"/>
      <c r="P75" s="3"/>
      <c r="Q75" s="3"/>
      <c r="R75" s="335"/>
      <c r="S75" s="336"/>
      <c r="T75" s="15"/>
      <c r="U75" s="3"/>
      <c r="V75" s="3"/>
      <c r="W75" s="3"/>
      <c r="X75" s="420" t="s">
        <v>567</v>
      </c>
      <c r="Y75" s="1"/>
      <c r="Z75" s="55"/>
      <c r="AA75" s="55"/>
    </row>
    <row r="76" spans="1:27" ht="12.75">
      <c r="A76" s="3">
        <v>26</v>
      </c>
      <c r="B76" s="3"/>
      <c r="C76" s="426" t="s">
        <v>102</v>
      </c>
      <c r="D76" s="426"/>
      <c r="E76" s="426"/>
      <c r="F76" s="3"/>
      <c r="G76" s="3"/>
      <c r="H76" s="14"/>
      <c r="I76" s="3"/>
      <c r="J76" s="355" t="b">
        <v>0</v>
      </c>
      <c r="K76" s="3"/>
      <c r="L76" s="327"/>
      <c r="M76" s="355" t="b">
        <v>0</v>
      </c>
      <c r="N76" s="334"/>
      <c r="O76" s="355" t="b">
        <v>0</v>
      </c>
      <c r="P76" s="5"/>
      <c r="Q76" s="3"/>
      <c r="R76" s="335"/>
      <c r="S76" s="341">
        <f>Calc_etu!BN106</f>
        <v>0</v>
      </c>
      <c r="T76" s="83"/>
      <c r="U76" s="3"/>
      <c r="V76" s="3"/>
      <c r="W76" s="3"/>
      <c r="X76" s="420"/>
      <c r="Y76" s="1"/>
      <c r="Z76" s="55"/>
      <c r="AA76" s="55"/>
    </row>
    <row r="77" spans="1:27" ht="12.75">
      <c r="A77" s="3"/>
      <c r="B77" s="3"/>
      <c r="C77" s="3"/>
      <c r="D77" s="3"/>
      <c r="E77" s="3"/>
      <c r="F77" s="3"/>
      <c r="G77" s="3"/>
      <c r="H77" s="14"/>
      <c r="I77" s="3"/>
      <c r="J77" s="3"/>
      <c r="K77" s="3"/>
      <c r="L77" s="327"/>
      <c r="M77" s="3"/>
      <c r="N77" s="334"/>
      <c r="O77" s="3"/>
      <c r="P77" s="3"/>
      <c r="Q77" s="3"/>
      <c r="R77" s="335"/>
      <c r="S77" s="336"/>
      <c r="T77" s="15"/>
      <c r="U77" s="3"/>
      <c r="V77" s="3"/>
      <c r="W77" s="3"/>
      <c r="X77" s="420"/>
      <c r="Y77" s="1"/>
      <c r="Z77" s="55"/>
      <c r="AA77" s="55"/>
    </row>
    <row r="78" spans="1:27" ht="12.75">
      <c r="A78" s="3"/>
      <c r="B78" s="3"/>
      <c r="C78" s="321" t="s">
        <v>303</v>
      </c>
      <c r="D78" s="13"/>
      <c r="E78" s="3"/>
      <c r="F78" s="3"/>
      <c r="G78" s="3"/>
      <c r="H78" s="14"/>
      <c r="I78" s="3"/>
      <c r="J78" s="3"/>
      <c r="K78" s="3"/>
      <c r="L78" s="327"/>
      <c r="M78" s="3"/>
      <c r="N78" s="334"/>
      <c r="O78" s="3"/>
      <c r="P78" s="3"/>
      <c r="Q78" s="3"/>
      <c r="R78" s="335"/>
      <c r="S78" s="336"/>
      <c r="T78" s="15"/>
      <c r="U78" s="3"/>
      <c r="V78" s="3"/>
      <c r="W78" s="3"/>
      <c r="X78" s="420"/>
      <c r="Y78" s="1"/>
      <c r="Z78" s="55"/>
      <c r="AA78" s="55"/>
    </row>
    <row r="79" spans="1:27" ht="12.75">
      <c r="A79" s="3">
        <v>27</v>
      </c>
      <c r="B79" s="3"/>
      <c r="C79" s="3" t="s">
        <v>6</v>
      </c>
      <c r="D79" s="3"/>
      <c r="E79" s="3"/>
      <c r="F79" s="3"/>
      <c r="G79" s="3"/>
      <c r="H79" s="3"/>
      <c r="I79" s="3"/>
      <c r="J79" s="3"/>
      <c r="K79" s="3"/>
      <c r="L79" s="333">
        <f>IF(Calc_etu!O27=1,"x","")</f>
      </c>
      <c r="M79" s="3"/>
      <c r="N79" s="334">
        <f>IF(Calc_etu!AG27=1,"x","")</f>
      </c>
      <c r="O79" s="3"/>
      <c r="P79" s="3"/>
      <c r="Q79" s="3"/>
      <c r="R79" s="335">
        <f>IF(Calc_etu!AY27=1,"x","")</f>
      </c>
      <c r="S79" s="336">
        <f>Calc_etu!BN27</f>
        <v>0</v>
      </c>
      <c r="T79" s="15"/>
      <c r="U79" s="3"/>
      <c r="V79" s="3"/>
      <c r="W79" s="3"/>
      <c r="X79" s="420"/>
      <c r="Y79" s="1"/>
      <c r="Z79" s="55"/>
      <c r="AA79" s="55"/>
    </row>
    <row r="80" spans="1:27" ht="12.75">
      <c r="A80" s="3">
        <v>28</v>
      </c>
      <c r="B80" s="3"/>
      <c r="C80" s="3" t="s">
        <v>7</v>
      </c>
      <c r="D80" s="3"/>
      <c r="E80" s="3"/>
      <c r="F80" s="3"/>
      <c r="G80" s="3"/>
      <c r="H80" s="3"/>
      <c r="I80" s="3"/>
      <c r="J80" s="3"/>
      <c r="K80" s="3"/>
      <c r="L80" s="333">
        <f>IF(Calc_etu!O28=1,"x","")</f>
      </c>
      <c r="M80" s="3"/>
      <c r="N80" s="334">
        <f>IF(Calc_etu!AG28=1,"x","")</f>
      </c>
      <c r="O80" s="3"/>
      <c r="P80" s="3"/>
      <c r="Q80" s="3"/>
      <c r="R80" s="335">
        <f>IF(Calc_etu!AY28=1,"x","")</f>
      </c>
      <c r="S80" s="336">
        <f>Calc_etu!BN28</f>
        <v>0</v>
      </c>
      <c r="T80" s="15"/>
      <c r="U80" s="3"/>
      <c r="V80" s="3"/>
      <c r="W80" s="3"/>
      <c r="X80" s="420"/>
      <c r="Y80" s="1"/>
      <c r="Z80" s="55"/>
      <c r="AA80" s="55"/>
    </row>
    <row r="81" spans="1:27" ht="12.75">
      <c r="A81" s="3">
        <v>29</v>
      </c>
      <c r="B81" s="3"/>
      <c r="C81" s="3" t="s">
        <v>8</v>
      </c>
      <c r="D81" s="3"/>
      <c r="E81" s="3"/>
      <c r="F81" s="3"/>
      <c r="G81" s="3"/>
      <c r="H81" s="3"/>
      <c r="I81" s="3"/>
      <c r="J81" s="3"/>
      <c r="K81" s="3"/>
      <c r="L81" s="333">
        <f>IF(Calc_etu!O29=1,"x","")</f>
      </c>
      <c r="M81" s="3"/>
      <c r="N81" s="334">
        <f>IF(Calc_etu!AG29=1,"x","")</f>
      </c>
      <c r="O81" s="3"/>
      <c r="P81" s="3"/>
      <c r="Q81" s="3"/>
      <c r="R81" s="335">
        <f>IF(Calc_etu!AY29=1,"x","")</f>
      </c>
      <c r="S81" s="336">
        <f>Calc_etu!BN29</f>
        <v>0</v>
      </c>
      <c r="T81" s="15"/>
      <c r="U81" s="3"/>
      <c r="V81" s="3"/>
      <c r="W81" s="3"/>
      <c r="X81" s="420"/>
      <c r="Y81" s="1"/>
      <c r="Z81" s="55"/>
      <c r="AA81" s="55"/>
    </row>
    <row r="82" spans="1:27" ht="12.75" customHeight="1">
      <c r="A82" s="3">
        <v>30</v>
      </c>
      <c r="B82" s="3"/>
      <c r="C82" s="3" t="s">
        <v>9</v>
      </c>
      <c r="D82" s="3"/>
      <c r="E82" s="3"/>
      <c r="F82" s="3"/>
      <c r="G82" s="3"/>
      <c r="H82" s="3"/>
      <c r="I82" s="3"/>
      <c r="J82" s="3"/>
      <c r="K82" s="3"/>
      <c r="L82" s="333">
        <f>IF(Calc_etu!O30=1,"x","")</f>
      </c>
      <c r="M82" s="3"/>
      <c r="N82" s="334">
        <f>IF(Calc_etu!AG30=1,"x","")</f>
      </c>
      <c r="O82" s="3"/>
      <c r="P82" s="3"/>
      <c r="Q82" s="3"/>
      <c r="R82" s="335">
        <f>IF(Calc_etu!AY30=1,"x","")</f>
      </c>
      <c r="S82" s="336">
        <f>Calc_etu!BN30</f>
        <v>0</v>
      </c>
      <c r="T82" s="15"/>
      <c r="U82" s="3"/>
      <c r="V82" s="3"/>
      <c r="W82" s="3"/>
      <c r="X82" s="420"/>
      <c r="Y82" s="1"/>
      <c r="Z82" s="55"/>
      <c r="AA82" s="55"/>
    </row>
    <row r="83" spans="1:27" ht="12.75" customHeight="1">
      <c r="A83" s="3"/>
      <c r="B83" s="3"/>
      <c r="C83" s="3"/>
      <c r="D83" s="3"/>
      <c r="E83" s="3"/>
      <c r="F83" s="3"/>
      <c r="G83" s="3"/>
      <c r="H83" s="3"/>
      <c r="I83" s="3"/>
      <c r="J83" s="3"/>
      <c r="K83" s="3"/>
      <c r="L83" s="333"/>
      <c r="M83" s="3"/>
      <c r="N83" s="334"/>
      <c r="O83" s="3"/>
      <c r="P83" s="3"/>
      <c r="Q83" s="3"/>
      <c r="R83" s="335"/>
      <c r="S83" s="336"/>
      <c r="T83" s="15"/>
      <c r="U83" s="3"/>
      <c r="V83" s="113"/>
      <c r="W83" s="3"/>
      <c r="X83" s="420"/>
      <c r="Y83" s="1"/>
      <c r="Z83" s="55"/>
      <c r="AA83" s="55"/>
    </row>
    <row r="84" spans="1:27" ht="12.75">
      <c r="A84" s="3">
        <v>31</v>
      </c>
      <c r="B84" s="3"/>
      <c r="C84" s="3" t="s">
        <v>69</v>
      </c>
      <c r="D84" s="3"/>
      <c r="E84" s="3"/>
      <c r="F84" s="3"/>
      <c r="G84" s="3"/>
      <c r="H84" s="3"/>
      <c r="I84" s="3"/>
      <c r="J84" s="3"/>
      <c r="K84" s="3"/>
      <c r="L84" s="333">
        <f>IF(Calc_etu!O32=1,"x","")</f>
      </c>
      <c r="M84" s="3"/>
      <c r="N84" s="334">
        <f>IF(Calc_etu!AG32=1,"x","")</f>
      </c>
      <c r="O84" s="3"/>
      <c r="P84" s="3"/>
      <c r="Q84" s="3"/>
      <c r="R84" s="335">
        <f>IF(Calc_etu!AY32=1,"x","")</f>
      </c>
      <c r="S84" s="336">
        <f>Calc_etu!BN32</f>
        <v>0</v>
      </c>
      <c r="T84" s="15"/>
      <c r="U84" s="3"/>
      <c r="V84" s="3"/>
      <c r="W84" s="3"/>
      <c r="X84" s="420"/>
      <c r="Y84" s="1"/>
      <c r="Z84" s="55"/>
      <c r="AA84" s="55"/>
    </row>
    <row r="85" spans="1:27" ht="12.75" customHeight="1">
      <c r="A85" s="3">
        <v>32</v>
      </c>
      <c r="B85" s="3"/>
      <c r="C85" s="3" t="s">
        <v>10</v>
      </c>
      <c r="D85" s="3"/>
      <c r="E85" s="3"/>
      <c r="F85" s="3"/>
      <c r="G85" s="3"/>
      <c r="H85" s="3"/>
      <c r="I85" s="3"/>
      <c r="J85" s="3"/>
      <c r="K85" s="3"/>
      <c r="L85" s="333">
        <f>IF(Calc_etu!O33=1,"x","")</f>
      </c>
      <c r="M85" s="3"/>
      <c r="N85" s="334">
        <f>IF(Calc_etu!AG33=1,"x","")</f>
      </c>
      <c r="O85" s="3"/>
      <c r="P85" s="3"/>
      <c r="Q85" s="3"/>
      <c r="R85" s="335">
        <f>IF(Calc_etu!AY33=1,"x","")</f>
      </c>
      <c r="S85" s="336">
        <f>Calc_etu!BN33</f>
        <v>0</v>
      </c>
      <c r="T85" s="15"/>
      <c r="U85" s="3"/>
      <c r="V85" s="3"/>
      <c r="W85" s="3"/>
      <c r="X85" s="420"/>
      <c r="Y85" s="1"/>
      <c r="Z85" s="55"/>
      <c r="AA85" s="55"/>
    </row>
    <row r="86" spans="1:27" ht="12.75">
      <c r="A86" s="3"/>
      <c r="B86" s="3"/>
      <c r="C86" s="3"/>
      <c r="D86" s="3"/>
      <c r="E86" s="3"/>
      <c r="F86" s="3"/>
      <c r="G86" s="3"/>
      <c r="H86" s="3"/>
      <c r="I86" s="3"/>
      <c r="J86" s="3"/>
      <c r="K86" s="3"/>
      <c r="L86" s="333"/>
      <c r="M86" s="3"/>
      <c r="N86" s="334"/>
      <c r="O86" s="3"/>
      <c r="P86" s="3"/>
      <c r="Q86" s="3"/>
      <c r="R86" s="335"/>
      <c r="S86" s="336"/>
      <c r="T86" s="15"/>
      <c r="U86" s="3"/>
      <c r="V86" s="3"/>
      <c r="W86" s="3"/>
      <c r="X86" s="342" t="s">
        <v>443</v>
      </c>
      <c r="Y86" s="1"/>
      <c r="Z86" s="55"/>
      <c r="AA86" s="55"/>
    </row>
    <row r="87" spans="1:27" ht="12.75">
      <c r="A87" s="3">
        <v>33</v>
      </c>
      <c r="B87" s="3"/>
      <c r="C87" s="3" t="s">
        <v>11</v>
      </c>
      <c r="D87" s="3"/>
      <c r="E87" s="3"/>
      <c r="F87" s="3"/>
      <c r="G87" s="3"/>
      <c r="H87" s="3"/>
      <c r="I87" s="3"/>
      <c r="J87" s="3"/>
      <c r="K87" s="3"/>
      <c r="L87" s="333">
        <f>IF(Calc_etu!O35=1,"x","")</f>
      </c>
      <c r="M87" s="3"/>
      <c r="N87" s="334">
        <f>IF(Calc_etu!AG35=1,"x","")</f>
      </c>
      <c r="O87" s="3"/>
      <c r="P87" s="3"/>
      <c r="Q87" s="3"/>
      <c r="R87" s="335">
        <f>IF(Calc_etu!AY35=1,"x","")</f>
      </c>
      <c r="S87" s="336">
        <f>Calc_etu!BN35</f>
        <v>0</v>
      </c>
      <c r="T87" s="15"/>
      <c r="U87" s="3"/>
      <c r="V87" s="3"/>
      <c r="W87" s="3"/>
      <c r="X87" s="1"/>
      <c r="Y87" s="1"/>
      <c r="Z87" s="55"/>
      <c r="AA87" s="55"/>
    </row>
    <row r="88" spans="1:27" ht="12.75">
      <c r="A88" s="3">
        <v>34</v>
      </c>
      <c r="B88" s="3"/>
      <c r="C88" s="3" t="s">
        <v>12</v>
      </c>
      <c r="D88" s="3"/>
      <c r="E88" s="3"/>
      <c r="F88" s="3"/>
      <c r="G88" s="3"/>
      <c r="H88" s="3"/>
      <c r="I88" s="3"/>
      <c r="J88" s="3"/>
      <c r="K88" s="3"/>
      <c r="L88" s="333">
        <f>IF(Calc_etu!O36=1,"x","")</f>
      </c>
      <c r="M88" s="3"/>
      <c r="N88" s="334">
        <f>IF(Calc_etu!AG36=1,"x","")</f>
      </c>
      <c r="O88" s="3"/>
      <c r="P88" s="3"/>
      <c r="Q88" s="3"/>
      <c r="R88" s="335">
        <f>IF(Calc_etu!AY36=1,"x","")</f>
      </c>
      <c r="S88" s="336">
        <f>Calc_etu!BN36</f>
        <v>0</v>
      </c>
      <c r="T88" s="15"/>
      <c r="U88" s="3"/>
      <c r="V88" s="3"/>
      <c r="W88" s="3"/>
      <c r="X88" s="340"/>
      <c r="Y88" s="1"/>
      <c r="Z88" s="55"/>
      <c r="AA88" s="55"/>
    </row>
    <row r="89" spans="1:27" ht="12.75">
      <c r="A89" s="3">
        <v>35</v>
      </c>
      <c r="B89" s="3"/>
      <c r="C89" s="3" t="s">
        <v>13</v>
      </c>
      <c r="D89" s="3"/>
      <c r="E89" s="3"/>
      <c r="F89" s="3"/>
      <c r="G89" s="3"/>
      <c r="H89" s="3"/>
      <c r="I89" s="3"/>
      <c r="J89" s="3"/>
      <c r="K89" s="3"/>
      <c r="L89" s="333">
        <f>IF(Calc_etu!O37=1,"x","")</f>
      </c>
      <c r="M89" s="3"/>
      <c r="N89" s="334">
        <f>IF(Calc_etu!AG37=1,"x","")</f>
      </c>
      <c r="O89" s="3"/>
      <c r="P89" s="3"/>
      <c r="Q89" s="3"/>
      <c r="R89" s="335">
        <f>IF(Calc_etu!AY37=1,"x","")</f>
      </c>
      <c r="S89" s="336">
        <f>Calc_etu!BN37</f>
        <v>0</v>
      </c>
      <c r="T89" s="15"/>
      <c r="U89" s="3"/>
      <c r="V89" s="3"/>
      <c r="W89" s="3"/>
      <c r="X89" s="321" t="s">
        <v>320</v>
      </c>
      <c r="Y89" s="1"/>
      <c r="Z89" s="55"/>
      <c r="AA89" s="55"/>
    </row>
    <row r="90" spans="1:27" ht="12.75">
      <c r="A90" s="3">
        <v>36</v>
      </c>
      <c r="B90" s="3"/>
      <c r="C90" s="3" t="s">
        <v>14</v>
      </c>
      <c r="D90" s="3"/>
      <c r="E90" s="3"/>
      <c r="F90" s="3"/>
      <c r="G90" s="3"/>
      <c r="H90" s="3"/>
      <c r="I90" s="3"/>
      <c r="J90" s="3"/>
      <c r="K90" s="3"/>
      <c r="L90" s="333">
        <f>IF(Calc_etu!O38=1,"x","")</f>
      </c>
      <c r="M90" s="3"/>
      <c r="N90" s="334">
        <f>IF(Calc_etu!AG38=1,"x","")</f>
      </c>
      <c r="O90" s="3"/>
      <c r="P90" s="3"/>
      <c r="Q90" s="3"/>
      <c r="R90" s="335">
        <f>IF(Calc_etu!AY38=1,"x","")</f>
      </c>
      <c r="S90" s="336">
        <f>Calc_etu!BN38</f>
        <v>0</v>
      </c>
      <c r="T90" s="15"/>
      <c r="U90" s="3"/>
      <c r="V90" s="3"/>
      <c r="W90" s="3"/>
      <c r="X90" s="425" t="s">
        <v>568</v>
      </c>
      <c r="Y90" s="1"/>
      <c r="Z90" s="55"/>
      <c r="AA90" s="55"/>
    </row>
    <row r="91" spans="1:27" ht="12.75">
      <c r="A91" s="3">
        <v>37</v>
      </c>
      <c r="B91" s="3"/>
      <c r="C91" s="3" t="s">
        <v>15</v>
      </c>
      <c r="D91" s="3"/>
      <c r="E91" s="3"/>
      <c r="F91" s="3"/>
      <c r="G91" s="3"/>
      <c r="H91" s="3"/>
      <c r="I91" s="3"/>
      <c r="J91" s="3"/>
      <c r="K91" s="3"/>
      <c r="L91" s="333">
        <f>IF(Calc_etu!O39=1,"x","")</f>
      </c>
      <c r="M91" s="3"/>
      <c r="N91" s="334">
        <f>IF(Calc_etu!AG39=1,"x","")</f>
      </c>
      <c r="O91" s="3"/>
      <c r="P91" s="3"/>
      <c r="Q91" s="3"/>
      <c r="R91" s="335">
        <f>IF(Calc_etu!AY39=1,"x","")</f>
      </c>
      <c r="S91" s="336">
        <f>Calc_etu!BN39</f>
        <v>0</v>
      </c>
      <c r="T91" s="15"/>
      <c r="U91" s="3"/>
      <c r="V91" s="3"/>
      <c r="W91" s="3"/>
      <c r="X91" s="425"/>
      <c r="Y91" s="1"/>
      <c r="Z91" s="55"/>
      <c r="AA91" s="55"/>
    </row>
    <row r="92" spans="1:27" ht="12.75">
      <c r="A92" s="3">
        <v>38</v>
      </c>
      <c r="B92" s="3"/>
      <c r="C92" s="3" t="s">
        <v>16</v>
      </c>
      <c r="D92" s="3"/>
      <c r="E92" s="3"/>
      <c r="F92" s="3"/>
      <c r="G92" s="3"/>
      <c r="H92" s="3"/>
      <c r="I92" s="3"/>
      <c r="J92" s="3"/>
      <c r="K92" s="3"/>
      <c r="L92" s="333">
        <f>IF(Calc_etu!O40=1,"x","")</f>
      </c>
      <c r="M92" s="3"/>
      <c r="N92" s="334">
        <f>IF(Calc_etu!AG40=1,"x","")</f>
      </c>
      <c r="O92" s="3"/>
      <c r="P92" s="3"/>
      <c r="Q92" s="3"/>
      <c r="R92" s="335">
        <f>IF(Calc_etu!AY40=1,"x","")</f>
      </c>
      <c r="S92" s="336">
        <f>Calc_etu!BN40</f>
        <v>0</v>
      </c>
      <c r="T92" s="15"/>
      <c r="U92" s="3"/>
      <c r="V92" s="3"/>
      <c r="W92" s="3"/>
      <c r="X92" s="425"/>
      <c r="Y92" s="1"/>
      <c r="Z92" s="55"/>
      <c r="AA92" s="55"/>
    </row>
    <row r="93" spans="1:27" ht="12.75">
      <c r="A93" s="3">
        <v>39</v>
      </c>
      <c r="B93" s="3"/>
      <c r="C93" s="3" t="s">
        <v>70</v>
      </c>
      <c r="D93" s="3"/>
      <c r="E93" s="3"/>
      <c r="F93" s="3"/>
      <c r="G93" s="3"/>
      <c r="H93" s="3"/>
      <c r="I93" s="3"/>
      <c r="J93" s="3"/>
      <c r="K93" s="3"/>
      <c r="L93" s="333">
        <f>IF(Calc_etu!O41=1,"x","")</f>
      </c>
      <c r="M93" s="3"/>
      <c r="N93" s="334">
        <f>IF(Calc_etu!AG41=1,"x","")</f>
      </c>
      <c r="O93" s="3"/>
      <c r="P93" s="3"/>
      <c r="Q93" s="3"/>
      <c r="R93" s="335">
        <f>IF(Calc_etu!AY41=1,"x","")</f>
      </c>
      <c r="S93" s="336">
        <f>Calc_etu!BN41</f>
        <v>0</v>
      </c>
      <c r="T93" s="15"/>
      <c r="U93" s="3"/>
      <c r="V93" s="3"/>
      <c r="W93" s="3"/>
      <c r="X93" s="425"/>
      <c r="Y93" s="1"/>
      <c r="Z93" s="55"/>
      <c r="AA93" s="55"/>
    </row>
    <row r="94" spans="1:27" ht="12.75">
      <c r="A94" s="3">
        <v>40</v>
      </c>
      <c r="B94" s="3"/>
      <c r="C94" s="3" t="s">
        <v>62</v>
      </c>
      <c r="D94" s="3"/>
      <c r="E94" s="3"/>
      <c r="F94" s="3"/>
      <c r="G94" s="3"/>
      <c r="H94" s="3"/>
      <c r="I94" s="3"/>
      <c r="J94" s="3"/>
      <c r="K94" s="3"/>
      <c r="L94" s="333">
        <f>IF(Calc_etu!O42=1,"x","")</f>
      </c>
      <c r="M94" s="3"/>
      <c r="N94" s="334">
        <f>IF(Calc_etu!AG42=1,"x","")</f>
      </c>
      <c r="O94" s="3"/>
      <c r="P94" s="3"/>
      <c r="Q94" s="3"/>
      <c r="R94" s="335">
        <f>IF(Calc_etu!AY42=1,"x","")</f>
      </c>
      <c r="S94" s="336">
        <f>Calc_etu!BN42</f>
        <v>0</v>
      </c>
      <c r="T94" s="15"/>
      <c r="U94" s="3"/>
      <c r="V94" s="3"/>
      <c r="W94" s="3"/>
      <c r="X94" s="425"/>
      <c r="Y94" s="1"/>
      <c r="Z94" s="55"/>
      <c r="AA94" s="55"/>
    </row>
    <row r="95" spans="1:27" ht="12.75">
      <c r="A95" s="3">
        <v>41</v>
      </c>
      <c r="B95" s="3"/>
      <c r="C95" s="3" t="s">
        <v>17</v>
      </c>
      <c r="D95" s="3"/>
      <c r="E95" s="3"/>
      <c r="F95" s="3"/>
      <c r="G95" s="3"/>
      <c r="H95" s="3"/>
      <c r="I95" s="3"/>
      <c r="J95" s="3"/>
      <c r="K95" s="3"/>
      <c r="L95" s="333">
        <f>IF(Calc_etu!O43=1,"x","")</f>
      </c>
      <c r="M95" s="3"/>
      <c r="N95" s="334">
        <f>IF(Calc_etu!AG43=1,"x","")</f>
      </c>
      <c r="O95" s="3"/>
      <c r="P95" s="3"/>
      <c r="Q95" s="3"/>
      <c r="R95" s="335">
        <f>IF(Calc_etu!AY43=1,"x","")</f>
      </c>
      <c r="S95" s="336">
        <f>Calc_etu!BN43</f>
        <v>0</v>
      </c>
      <c r="T95" s="15"/>
      <c r="U95" s="3"/>
      <c r="V95" s="3"/>
      <c r="W95" s="3"/>
      <c r="X95" s="425" t="s">
        <v>440</v>
      </c>
      <c r="Y95" s="1"/>
      <c r="Z95" s="55"/>
      <c r="AA95" s="55"/>
    </row>
    <row r="96" spans="1:27" ht="12.75">
      <c r="A96" s="3"/>
      <c r="B96" s="3"/>
      <c r="C96" s="3"/>
      <c r="D96" s="3"/>
      <c r="E96" s="3"/>
      <c r="F96" s="3"/>
      <c r="G96" s="3"/>
      <c r="H96" s="3"/>
      <c r="I96" s="3"/>
      <c r="J96" s="3"/>
      <c r="K96" s="3"/>
      <c r="L96" s="333"/>
      <c r="M96" s="3"/>
      <c r="N96" s="334"/>
      <c r="O96" s="3"/>
      <c r="P96" s="3"/>
      <c r="Q96" s="3"/>
      <c r="R96" s="335"/>
      <c r="S96" s="336"/>
      <c r="T96" s="15"/>
      <c r="U96" s="3"/>
      <c r="V96" s="3"/>
      <c r="W96" s="3"/>
      <c r="X96" s="425"/>
      <c r="Y96" s="1"/>
      <c r="Z96" s="55"/>
      <c r="AA96" s="55"/>
    </row>
    <row r="97" spans="1:27" ht="12.75">
      <c r="A97" s="3">
        <v>42</v>
      </c>
      <c r="B97" s="3"/>
      <c r="C97" s="3" t="s">
        <v>18</v>
      </c>
      <c r="D97" s="3"/>
      <c r="E97" s="3"/>
      <c r="F97" s="3"/>
      <c r="G97" s="3"/>
      <c r="H97" s="3"/>
      <c r="I97" s="3"/>
      <c r="J97" s="3"/>
      <c r="K97" s="3"/>
      <c r="L97" s="333">
        <f>IF(Calc_etu!O45=1,"x","")</f>
      </c>
      <c r="M97" s="3"/>
      <c r="N97" s="334">
        <f>IF(Calc_etu!AG45=1,"x","")</f>
      </c>
      <c r="O97" s="3"/>
      <c r="P97" s="3"/>
      <c r="Q97" s="3"/>
      <c r="R97" s="335">
        <f>IF(Calc_etu!AY45=1,"x","")</f>
      </c>
      <c r="S97" s="336">
        <f>Calc_etu!BN45</f>
        <v>0</v>
      </c>
      <c r="T97" s="15"/>
      <c r="U97" s="3"/>
      <c r="V97" s="3"/>
      <c r="W97" s="3"/>
      <c r="X97" s="425"/>
      <c r="Y97" s="1"/>
      <c r="Z97" s="55"/>
      <c r="AA97" s="55"/>
    </row>
    <row r="98" spans="1:27" ht="12.75">
      <c r="A98" s="3">
        <v>43</v>
      </c>
      <c r="B98" s="3"/>
      <c r="C98" s="3" t="s">
        <v>19</v>
      </c>
      <c r="D98" s="3"/>
      <c r="E98" s="3"/>
      <c r="F98" s="3"/>
      <c r="G98" s="3"/>
      <c r="H98" s="3"/>
      <c r="I98" s="3"/>
      <c r="J98" s="3"/>
      <c r="K98" s="3"/>
      <c r="L98" s="333">
        <f>IF(Calc_etu!O46=1,"x","")</f>
      </c>
      <c r="M98" s="3"/>
      <c r="N98" s="334">
        <f>IF(Calc_etu!AG46=1,"x","")</f>
      </c>
      <c r="O98" s="3"/>
      <c r="P98" s="3"/>
      <c r="Q98" s="3"/>
      <c r="R98" s="335">
        <f>IF(Calc_etu!AY46=1,"x","")</f>
      </c>
      <c r="S98" s="336">
        <f>Calc_etu!BN46</f>
        <v>0</v>
      </c>
      <c r="T98" s="15"/>
      <c r="U98" s="3"/>
      <c r="V98" s="3"/>
      <c r="W98" s="3"/>
      <c r="X98" s="425"/>
      <c r="Y98" s="1"/>
      <c r="Z98" s="55"/>
      <c r="AA98" s="55"/>
    </row>
    <row r="99" spans="1:27" ht="12.75">
      <c r="A99" s="3">
        <v>44</v>
      </c>
      <c r="B99" s="3"/>
      <c r="C99" s="3" t="s">
        <v>20</v>
      </c>
      <c r="D99" s="3"/>
      <c r="E99" s="3"/>
      <c r="F99" s="3"/>
      <c r="G99" s="3"/>
      <c r="H99" s="3"/>
      <c r="I99" s="3"/>
      <c r="J99" s="3"/>
      <c r="K99" s="3"/>
      <c r="L99" s="333">
        <f>IF(Calc_etu!O47=1,"x","")</f>
      </c>
      <c r="M99" s="3"/>
      <c r="N99" s="334">
        <f>IF(Calc_etu!AG47=1,"x","")</f>
      </c>
      <c r="O99" s="3"/>
      <c r="P99" s="3"/>
      <c r="Q99" s="3"/>
      <c r="R99" s="335">
        <f>IF(Calc_etu!AY47=1,"x","")</f>
      </c>
      <c r="S99" s="336">
        <f>Calc_etu!BN47</f>
        <v>0</v>
      </c>
      <c r="T99" s="15"/>
      <c r="U99" s="3"/>
      <c r="V99" s="3"/>
      <c r="W99" s="3"/>
      <c r="X99" s="425"/>
      <c r="Y99" s="1"/>
      <c r="Z99" s="55"/>
      <c r="AA99" s="55"/>
    </row>
    <row r="100" spans="1:27" ht="12.75">
      <c r="A100" s="3">
        <v>45</v>
      </c>
      <c r="B100" s="3"/>
      <c r="C100" s="3" t="s">
        <v>21</v>
      </c>
      <c r="D100" s="3"/>
      <c r="E100" s="3"/>
      <c r="F100" s="3"/>
      <c r="G100" s="3"/>
      <c r="H100" s="3"/>
      <c r="I100" s="3"/>
      <c r="J100" s="3"/>
      <c r="K100" s="3"/>
      <c r="L100" s="333">
        <f>IF(Calc_etu!O48=1,"x","")</f>
      </c>
      <c r="M100" s="3"/>
      <c r="N100" s="334">
        <f>IF(Calc_etu!AG48=1,"x","")</f>
      </c>
      <c r="O100" s="3"/>
      <c r="P100" s="3"/>
      <c r="Q100" s="3"/>
      <c r="R100" s="335">
        <f>IF(Calc_etu!AY48=1,"x","")</f>
      </c>
      <c r="S100" s="336">
        <f>Calc_etu!BN48</f>
        <v>0</v>
      </c>
      <c r="T100" s="15"/>
      <c r="U100" s="3"/>
      <c r="V100" s="3"/>
      <c r="W100" s="3"/>
      <c r="X100" s="425"/>
      <c r="Y100" s="1"/>
      <c r="Z100" s="55"/>
      <c r="AA100" s="55"/>
    </row>
    <row r="101" spans="1:27" ht="12.75">
      <c r="A101" s="3">
        <v>46</v>
      </c>
      <c r="B101" s="3"/>
      <c r="C101" s="3" t="s">
        <v>22</v>
      </c>
      <c r="D101" s="3"/>
      <c r="E101" s="3"/>
      <c r="F101" s="3"/>
      <c r="G101" s="3"/>
      <c r="H101" s="3"/>
      <c r="I101" s="3"/>
      <c r="J101" s="3"/>
      <c r="K101" s="3"/>
      <c r="L101" s="333">
        <f>IF(Calc_etu!O49=1,"x","")</f>
      </c>
      <c r="M101" s="3"/>
      <c r="N101" s="334">
        <f>IF(Calc_etu!AG49=1,"x","")</f>
      </c>
      <c r="O101" s="3"/>
      <c r="P101" s="3"/>
      <c r="Q101" s="3"/>
      <c r="R101" s="335">
        <f>IF(Calc_etu!AY49=1,"x","")</f>
      </c>
      <c r="S101" s="336">
        <f>Calc_etu!BN49</f>
        <v>0</v>
      </c>
      <c r="T101" s="15"/>
      <c r="U101" s="3"/>
      <c r="V101" s="3"/>
      <c r="W101" s="3"/>
      <c r="X101" s="425"/>
      <c r="Y101" s="1"/>
      <c r="Z101" s="55"/>
      <c r="AA101" s="55"/>
    </row>
    <row r="102" spans="1:27" ht="12.75">
      <c r="A102" s="3">
        <v>47</v>
      </c>
      <c r="B102" s="3"/>
      <c r="C102" s="426" t="s">
        <v>23</v>
      </c>
      <c r="D102" s="426"/>
      <c r="E102" s="3"/>
      <c r="F102" s="3"/>
      <c r="G102" s="3"/>
      <c r="H102" s="3"/>
      <c r="I102" s="3"/>
      <c r="J102" s="3"/>
      <c r="K102" s="3"/>
      <c r="L102" s="333">
        <f>IF(Calc_etu!O50=1,"x","")</f>
      </c>
      <c r="M102" s="3"/>
      <c r="N102" s="334">
        <f>IF(Calc_etu!AG50=1,"x","")</f>
      </c>
      <c r="O102" s="3"/>
      <c r="P102" s="3"/>
      <c r="Q102" s="3"/>
      <c r="R102" s="335">
        <f>IF(Calc_etu!AY50=1,"x","")</f>
      </c>
      <c r="S102" s="336">
        <f>Calc_etu!BN50</f>
        <v>0</v>
      </c>
      <c r="T102" s="15"/>
      <c r="U102" s="3"/>
      <c r="V102" s="3"/>
      <c r="W102" s="3"/>
      <c r="X102" s="3"/>
      <c r="Y102" s="1"/>
      <c r="Z102" s="55"/>
      <c r="AA102" s="55"/>
    </row>
    <row r="103" spans="1:27" ht="12.75">
      <c r="A103" s="3">
        <v>48</v>
      </c>
      <c r="B103" s="3"/>
      <c r="C103" s="3" t="s">
        <v>24</v>
      </c>
      <c r="D103" s="3"/>
      <c r="E103" s="3"/>
      <c r="F103" s="3"/>
      <c r="G103" s="3"/>
      <c r="H103" s="3"/>
      <c r="I103" s="3"/>
      <c r="J103" s="3"/>
      <c r="K103" s="3"/>
      <c r="L103" s="333">
        <f>IF(Calc_etu!O51=1,"x","")</f>
      </c>
      <c r="M103" s="3"/>
      <c r="N103" s="334">
        <f>IF(Calc_etu!AG51=1,"x","")</f>
      </c>
      <c r="O103" s="3"/>
      <c r="P103" s="3"/>
      <c r="Q103" s="3"/>
      <c r="R103" s="335">
        <f>IF(Calc_etu!AY51=1,"x","")</f>
      </c>
      <c r="S103" s="336">
        <f>Calc_etu!BN51</f>
        <v>0</v>
      </c>
      <c r="T103" s="15"/>
      <c r="U103" s="3"/>
      <c r="V103" s="3"/>
      <c r="W103" s="3"/>
      <c r="X103" s="343" t="s">
        <v>98</v>
      </c>
      <c r="Y103" s="1"/>
      <c r="Z103" s="55"/>
      <c r="AA103" s="55"/>
    </row>
    <row r="104" spans="1:27" ht="12.75">
      <c r="A104" s="3">
        <v>49</v>
      </c>
      <c r="B104" s="3"/>
      <c r="C104" s="3" t="s">
        <v>25</v>
      </c>
      <c r="D104" s="3"/>
      <c r="E104" s="3"/>
      <c r="F104" s="3"/>
      <c r="G104" s="3"/>
      <c r="H104" s="3"/>
      <c r="I104" s="3"/>
      <c r="J104" s="3"/>
      <c r="K104" s="3"/>
      <c r="L104" s="333">
        <f>IF(Calc_etu!O52=1,"x","")</f>
      </c>
      <c r="M104" s="3"/>
      <c r="N104" s="334">
        <f>IF(Calc_etu!AG52=1,"x","")</f>
      </c>
      <c r="O104" s="3"/>
      <c r="P104" s="3"/>
      <c r="Q104" s="3"/>
      <c r="R104" s="335">
        <f>IF(Calc_etu!AY52=1,"x","")</f>
      </c>
      <c r="S104" s="336">
        <f>Calc_etu!BN52</f>
        <v>0</v>
      </c>
      <c r="T104" s="15"/>
      <c r="U104" s="3"/>
      <c r="V104" s="3"/>
      <c r="W104" s="3"/>
      <c r="X104" s="420" t="s">
        <v>271</v>
      </c>
      <c r="Y104" s="1"/>
      <c r="Z104" s="55"/>
      <c r="AA104" s="55"/>
    </row>
    <row r="105" spans="1:27" ht="12.75" customHeight="1">
      <c r="A105" s="3"/>
      <c r="B105" s="3"/>
      <c r="C105" s="3"/>
      <c r="D105" s="3"/>
      <c r="E105" s="3"/>
      <c r="F105" s="3"/>
      <c r="G105" s="3"/>
      <c r="H105" s="3"/>
      <c r="I105" s="3"/>
      <c r="J105" s="3"/>
      <c r="K105" s="3"/>
      <c r="L105" s="333"/>
      <c r="M105" s="3"/>
      <c r="N105" s="334"/>
      <c r="O105" s="3"/>
      <c r="P105" s="3"/>
      <c r="Q105" s="3"/>
      <c r="R105" s="335"/>
      <c r="S105" s="336"/>
      <c r="T105" s="15"/>
      <c r="U105" s="3"/>
      <c r="V105" s="3"/>
      <c r="W105" s="3"/>
      <c r="X105" s="420"/>
      <c r="Y105" s="1"/>
      <c r="Z105" s="55"/>
      <c r="AA105" s="55"/>
    </row>
    <row r="106" spans="1:27" ht="12.75">
      <c r="A106" s="3"/>
      <c r="B106" s="3"/>
      <c r="C106" s="321" t="s">
        <v>2</v>
      </c>
      <c r="D106" s="13"/>
      <c r="E106" s="3"/>
      <c r="F106" s="3"/>
      <c r="G106" s="3"/>
      <c r="H106" s="3"/>
      <c r="I106" s="3"/>
      <c r="J106" s="3"/>
      <c r="K106" s="3"/>
      <c r="L106" s="333"/>
      <c r="M106" s="3"/>
      <c r="N106" s="334"/>
      <c r="O106" s="3"/>
      <c r="P106" s="3"/>
      <c r="Q106" s="3"/>
      <c r="R106" s="335"/>
      <c r="S106" s="336"/>
      <c r="T106" s="15"/>
      <c r="U106" s="3"/>
      <c r="V106" s="3"/>
      <c r="W106" s="3"/>
      <c r="X106" s="420"/>
      <c r="Y106" s="1"/>
      <c r="Z106" s="55"/>
      <c r="AA106" s="55"/>
    </row>
    <row r="107" spans="1:27" ht="12.75">
      <c r="A107" s="3">
        <v>50</v>
      </c>
      <c r="B107" s="3"/>
      <c r="C107" s="3" t="s">
        <v>26</v>
      </c>
      <c r="D107" s="3"/>
      <c r="E107" s="3"/>
      <c r="F107" s="3"/>
      <c r="G107" s="3"/>
      <c r="H107" s="3"/>
      <c r="I107" s="3"/>
      <c r="J107" s="3"/>
      <c r="K107" s="3"/>
      <c r="L107" s="333">
        <f>IF(Calc_etu!O55=1,"x","")</f>
      </c>
      <c r="M107" s="3"/>
      <c r="N107" s="334">
        <f>IF(Calc_etu!AG55=1,"x","")</f>
      </c>
      <c r="O107" s="3"/>
      <c r="P107" s="3"/>
      <c r="Q107" s="3"/>
      <c r="R107" s="335">
        <f>IF(Calc_etu!AY55=1,"x","")</f>
      </c>
      <c r="S107" s="336">
        <f>Calc_etu!BN55</f>
        <v>0</v>
      </c>
      <c r="T107" s="15"/>
      <c r="U107" s="3"/>
      <c r="V107" s="3"/>
      <c r="W107" s="3"/>
      <c r="X107" s="420"/>
      <c r="Y107" s="1"/>
      <c r="Z107" s="55"/>
      <c r="AA107" s="55"/>
    </row>
    <row r="108" spans="1:27" ht="12.75">
      <c r="A108" s="3">
        <v>51</v>
      </c>
      <c r="B108" s="3"/>
      <c r="C108" s="3" t="s">
        <v>27</v>
      </c>
      <c r="D108" s="3"/>
      <c r="E108" s="3"/>
      <c r="F108" s="3"/>
      <c r="G108" s="3"/>
      <c r="H108" s="3"/>
      <c r="I108" s="3"/>
      <c r="J108" s="3"/>
      <c r="K108" s="3"/>
      <c r="L108" s="333">
        <f>IF(Calc_etu!O56=1,"x","")</f>
      </c>
      <c r="M108" s="3"/>
      <c r="N108" s="334">
        <f>IF(Calc_etu!AG56=1,"x","")</f>
      </c>
      <c r="O108" s="3"/>
      <c r="P108" s="3"/>
      <c r="Q108" s="3"/>
      <c r="R108" s="335">
        <f>IF(Calc_etu!AY56=1,"x","")</f>
      </c>
      <c r="S108" s="336">
        <f>Calc_etu!BN56</f>
        <v>0</v>
      </c>
      <c r="T108" s="15"/>
      <c r="U108" s="3"/>
      <c r="V108" s="3"/>
      <c r="W108" s="3"/>
      <c r="X108" s="420"/>
      <c r="Y108" s="1"/>
      <c r="Z108" s="55"/>
      <c r="AA108" s="55"/>
    </row>
    <row r="109" spans="1:27" ht="12.75">
      <c r="A109" s="3">
        <v>52</v>
      </c>
      <c r="B109" s="3"/>
      <c r="C109" s="3" t="s">
        <v>28</v>
      </c>
      <c r="D109" s="3"/>
      <c r="E109" s="3"/>
      <c r="F109" s="3"/>
      <c r="G109" s="3"/>
      <c r="H109" s="3"/>
      <c r="I109" s="3"/>
      <c r="J109" s="3"/>
      <c r="K109" s="3"/>
      <c r="L109" s="333">
        <f>IF(Calc_etu!O57=1,"x","")</f>
      </c>
      <c r="M109" s="3"/>
      <c r="N109" s="334">
        <f>IF(Calc_etu!AG57=1,"x","")</f>
      </c>
      <c r="O109" s="3"/>
      <c r="P109" s="3"/>
      <c r="Q109" s="3"/>
      <c r="R109" s="335">
        <f>IF(Calc_etu!AY57=1,"x","")</f>
      </c>
      <c r="S109" s="336">
        <f>Calc_etu!BN57</f>
        <v>0</v>
      </c>
      <c r="T109" s="15"/>
      <c r="U109" s="3"/>
      <c r="V109" s="3"/>
      <c r="W109" s="3"/>
      <c r="X109" s="321" t="s">
        <v>431</v>
      </c>
      <c r="Y109" s="1"/>
      <c r="Z109" s="55"/>
      <c r="AA109" s="55"/>
    </row>
    <row r="110" spans="1:27" ht="12.75" customHeight="1">
      <c r="A110" s="3"/>
      <c r="B110" s="3"/>
      <c r="C110" s="3"/>
      <c r="D110" s="3"/>
      <c r="E110" s="3"/>
      <c r="F110" s="3"/>
      <c r="G110" s="3"/>
      <c r="H110" s="3"/>
      <c r="I110" s="3"/>
      <c r="J110" s="3"/>
      <c r="K110" s="3"/>
      <c r="L110" s="333"/>
      <c r="M110" s="3"/>
      <c r="N110" s="334"/>
      <c r="O110" s="3"/>
      <c r="P110" s="3"/>
      <c r="Q110" s="3"/>
      <c r="R110" s="335"/>
      <c r="S110" s="336"/>
      <c r="T110" s="15"/>
      <c r="U110" s="3"/>
      <c r="V110" s="3"/>
      <c r="W110" s="3"/>
      <c r="X110" s="420" t="s">
        <v>442</v>
      </c>
      <c r="Y110" s="1"/>
      <c r="Z110" s="55"/>
      <c r="AA110" s="55"/>
    </row>
    <row r="111" spans="1:27" ht="12.75">
      <c r="A111" s="3">
        <v>53</v>
      </c>
      <c r="B111" s="3"/>
      <c r="C111" s="3" t="s">
        <v>29</v>
      </c>
      <c r="D111" s="3"/>
      <c r="E111" s="3"/>
      <c r="F111" s="3"/>
      <c r="G111" s="3"/>
      <c r="H111" s="3"/>
      <c r="I111" s="3"/>
      <c r="J111" s="3"/>
      <c r="K111" s="3"/>
      <c r="L111" s="333">
        <f>IF(Calc_etu!O59=1,"x","")</f>
      </c>
      <c r="M111" s="3"/>
      <c r="N111" s="334">
        <f>IF(Calc_etu!AG59=1,"x","")</f>
      </c>
      <c r="O111" s="3"/>
      <c r="P111" s="3"/>
      <c r="Q111" s="3"/>
      <c r="R111" s="335">
        <f>IF(Calc_etu!AY59=1,"x","")</f>
      </c>
      <c r="S111" s="336">
        <f>Calc_etu!BN59</f>
        <v>0</v>
      </c>
      <c r="T111" s="15"/>
      <c r="U111" s="3"/>
      <c r="V111" s="3"/>
      <c r="W111" s="3"/>
      <c r="X111" s="420"/>
      <c r="Y111" s="1"/>
      <c r="Z111" s="55"/>
      <c r="AA111" s="55"/>
    </row>
    <row r="112" spans="1:27" ht="12.75">
      <c r="A112" s="3">
        <v>54</v>
      </c>
      <c r="B112" s="3"/>
      <c r="C112" s="3" t="s">
        <v>30</v>
      </c>
      <c r="D112" s="3"/>
      <c r="E112" s="3"/>
      <c r="F112" s="3"/>
      <c r="G112" s="3"/>
      <c r="H112" s="3"/>
      <c r="I112" s="3"/>
      <c r="J112" s="3"/>
      <c r="K112" s="3"/>
      <c r="L112" s="333">
        <f>IF(Calc_etu!O60=1,"x","")</f>
      </c>
      <c r="M112" s="3"/>
      <c r="N112" s="334">
        <f>IF(Calc_etu!AG60=1,"x","")</f>
      </c>
      <c r="O112" s="3"/>
      <c r="P112" s="3"/>
      <c r="Q112" s="3"/>
      <c r="R112" s="335">
        <f>IF(Calc_etu!AY60=1,"x","")</f>
      </c>
      <c r="S112" s="336">
        <f>Calc_etu!BN60</f>
        <v>0</v>
      </c>
      <c r="T112" s="15"/>
      <c r="U112" s="3"/>
      <c r="V112" s="3"/>
      <c r="W112" s="3"/>
      <c r="X112" s="420"/>
      <c r="Y112" s="1"/>
      <c r="Z112" s="55"/>
      <c r="AA112" s="55"/>
    </row>
    <row r="113" spans="1:27" ht="12.75" customHeight="1">
      <c r="A113" s="3">
        <v>55</v>
      </c>
      <c r="B113" s="3"/>
      <c r="C113" s="3" t="s">
        <v>31</v>
      </c>
      <c r="D113" s="3"/>
      <c r="E113" s="3"/>
      <c r="F113" s="3"/>
      <c r="G113" s="3"/>
      <c r="H113" s="3"/>
      <c r="I113" s="3"/>
      <c r="J113" s="3"/>
      <c r="K113" s="3"/>
      <c r="L113" s="333">
        <f>IF(Calc_etu!O61=1,"x","")</f>
      </c>
      <c r="M113" s="3"/>
      <c r="N113" s="334">
        <f>IF(Calc_etu!AG61=1,"x","")</f>
      </c>
      <c r="O113" s="3"/>
      <c r="P113" s="3"/>
      <c r="Q113" s="3"/>
      <c r="R113" s="335">
        <f>IF(Calc_etu!AY61=1,"x","")</f>
      </c>
      <c r="S113" s="336">
        <f>Calc_etu!BN61</f>
        <v>0</v>
      </c>
      <c r="T113" s="15"/>
      <c r="U113" s="3"/>
      <c r="V113" s="3"/>
      <c r="W113" s="3"/>
      <c r="X113" s="420"/>
      <c r="Y113" s="1"/>
      <c r="Z113" s="55"/>
      <c r="AA113" s="55"/>
    </row>
    <row r="114" spans="1:27" ht="12.75" customHeight="1">
      <c r="A114" s="3">
        <v>56</v>
      </c>
      <c r="B114" s="3"/>
      <c r="C114" s="3" t="s">
        <v>32</v>
      </c>
      <c r="D114" s="3"/>
      <c r="E114" s="3"/>
      <c r="F114" s="3"/>
      <c r="G114" s="3"/>
      <c r="H114" s="3"/>
      <c r="I114" s="3"/>
      <c r="J114" s="3"/>
      <c r="K114" s="3"/>
      <c r="L114" s="333">
        <f>IF(Calc_etu!O62=1,"x","")</f>
      </c>
      <c r="M114" s="3"/>
      <c r="N114" s="334">
        <f>IF(Calc_etu!AG62=1,"x","")</f>
      </c>
      <c r="O114" s="3"/>
      <c r="P114" s="3"/>
      <c r="Q114" s="3"/>
      <c r="R114" s="335">
        <f>IF(Calc_etu!AY62=1,"x","")</f>
      </c>
      <c r="S114" s="336">
        <f>Calc_etu!BN62</f>
        <v>0</v>
      </c>
      <c r="T114" s="15"/>
      <c r="U114" s="3"/>
      <c r="V114" s="3"/>
      <c r="W114" s="3"/>
      <c r="X114" s="420"/>
      <c r="Y114" s="1"/>
      <c r="Z114" s="55"/>
      <c r="AA114" s="55"/>
    </row>
    <row r="115" spans="1:27" ht="12.75">
      <c r="A115" s="3">
        <v>57</v>
      </c>
      <c r="B115" s="3"/>
      <c r="C115" s="3" t="s">
        <v>33</v>
      </c>
      <c r="D115" s="3"/>
      <c r="E115" s="3"/>
      <c r="F115" s="3"/>
      <c r="G115" s="3"/>
      <c r="H115" s="3"/>
      <c r="I115" s="3"/>
      <c r="J115" s="3"/>
      <c r="K115" s="3"/>
      <c r="L115" s="333">
        <f>IF(Calc_etu!O63=1,"x","")</f>
      </c>
      <c r="M115" s="3"/>
      <c r="N115" s="334">
        <f>IF(Calc_etu!AG63=1,"x","")</f>
      </c>
      <c r="O115" s="3"/>
      <c r="P115" s="3"/>
      <c r="Q115" s="3"/>
      <c r="R115" s="335">
        <f>IF(Calc_etu!AY63=1,"x","")</f>
      </c>
      <c r="S115" s="336">
        <f>Calc_etu!BN63</f>
        <v>0</v>
      </c>
      <c r="T115" s="15"/>
      <c r="U115" s="3"/>
      <c r="V115" s="3"/>
      <c r="W115" s="3"/>
      <c r="X115" s="420"/>
      <c r="Y115" s="1"/>
      <c r="Z115" s="55"/>
      <c r="AA115" s="55"/>
    </row>
    <row r="116" spans="1:27" ht="12.75">
      <c r="A116" s="3">
        <v>58</v>
      </c>
      <c r="B116" s="3"/>
      <c r="C116" s="3" t="s">
        <v>34</v>
      </c>
      <c r="D116" s="3"/>
      <c r="E116" s="3"/>
      <c r="F116" s="3"/>
      <c r="G116" s="3"/>
      <c r="H116" s="3"/>
      <c r="I116" s="3"/>
      <c r="J116" s="3"/>
      <c r="K116" s="3"/>
      <c r="L116" s="333">
        <f>IF(Calc_etu!O64=1,"x","")</f>
      </c>
      <c r="M116" s="3"/>
      <c r="N116" s="334">
        <f>IF(Calc_etu!AG64=1,"x","")</f>
      </c>
      <c r="O116" s="3"/>
      <c r="P116" s="3"/>
      <c r="Q116" s="3"/>
      <c r="R116" s="335">
        <f>IF(Calc_etu!AY64=1,"x","")</f>
      </c>
      <c r="S116" s="336">
        <f>Calc_etu!BN64</f>
        <v>0</v>
      </c>
      <c r="T116" s="15"/>
      <c r="U116" s="3"/>
      <c r="V116" s="3"/>
      <c r="W116" s="3"/>
      <c r="X116" s="420"/>
      <c r="Y116" s="1"/>
      <c r="Z116" s="55"/>
      <c r="AA116" s="55"/>
    </row>
    <row r="117" spans="1:27" ht="12.75">
      <c r="A117" s="3">
        <v>59</v>
      </c>
      <c r="B117" s="3"/>
      <c r="C117" s="3" t="s">
        <v>35</v>
      </c>
      <c r="D117" s="3"/>
      <c r="E117" s="3"/>
      <c r="F117" s="3"/>
      <c r="G117" s="3"/>
      <c r="H117" s="3"/>
      <c r="I117" s="3"/>
      <c r="J117" s="3"/>
      <c r="K117" s="3"/>
      <c r="L117" s="333">
        <f>IF(Calc_etu!O65=1,"x","")</f>
      </c>
      <c r="M117" s="3"/>
      <c r="N117" s="334">
        <f>IF(Calc_etu!AG65=1,"x","")</f>
      </c>
      <c r="O117" s="3"/>
      <c r="P117" s="3"/>
      <c r="Q117" s="3"/>
      <c r="R117" s="335">
        <f>IF(Calc_etu!AY65=1,"x","")</f>
      </c>
      <c r="S117" s="336">
        <f>Calc_etu!BN65</f>
        <v>0</v>
      </c>
      <c r="T117" s="15"/>
      <c r="U117" s="3"/>
      <c r="V117" s="3"/>
      <c r="W117" s="3"/>
      <c r="X117" s="321" t="s">
        <v>95</v>
      </c>
      <c r="Y117" s="1"/>
      <c r="Z117" s="55"/>
      <c r="AA117" s="55"/>
    </row>
    <row r="118" spans="1:27" ht="12.75" customHeight="1">
      <c r="A118" s="3"/>
      <c r="B118" s="3"/>
      <c r="C118" s="3"/>
      <c r="D118" s="3"/>
      <c r="E118" s="3"/>
      <c r="F118" s="3"/>
      <c r="G118" s="3"/>
      <c r="H118" s="3"/>
      <c r="I118" s="3"/>
      <c r="J118" s="3"/>
      <c r="K118" s="3"/>
      <c r="L118" s="333"/>
      <c r="M118" s="3"/>
      <c r="N118" s="334"/>
      <c r="O118" s="3"/>
      <c r="P118" s="3"/>
      <c r="Q118" s="3"/>
      <c r="R118" s="335"/>
      <c r="S118" s="336"/>
      <c r="T118" s="15"/>
      <c r="U118" s="3"/>
      <c r="V118" s="3"/>
      <c r="W118" s="3"/>
      <c r="X118" s="420" t="s">
        <v>561</v>
      </c>
      <c r="Y118" s="1"/>
      <c r="Z118" s="55"/>
      <c r="AA118" s="55"/>
    </row>
    <row r="119" spans="1:27" ht="12.75" customHeight="1">
      <c r="A119" s="3"/>
      <c r="B119" s="3"/>
      <c r="C119" s="321" t="s">
        <v>36</v>
      </c>
      <c r="D119" s="13"/>
      <c r="E119" s="3"/>
      <c r="F119" s="3"/>
      <c r="G119" s="3"/>
      <c r="H119" s="3"/>
      <c r="I119" s="3"/>
      <c r="J119" s="3"/>
      <c r="K119" s="3"/>
      <c r="L119" s="333"/>
      <c r="M119" s="3"/>
      <c r="N119" s="334"/>
      <c r="O119" s="3"/>
      <c r="P119" s="3"/>
      <c r="Q119" s="3"/>
      <c r="R119" s="335"/>
      <c r="S119" s="336"/>
      <c r="T119" s="15"/>
      <c r="U119" s="3"/>
      <c r="V119" s="3"/>
      <c r="W119" s="3"/>
      <c r="X119" s="420"/>
      <c r="Y119" s="1"/>
      <c r="Z119" s="55"/>
      <c r="AA119" s="55"/>
    </row>
    <row r="120" spans="1:27" ht="12.75" customHeight="1">
      <c r="A120" s="3">
        <v>60</v>
      </c>
      <c r="B120" s="3"/>
      <c r="C120" s="3" t="s">
        <v>37</v>
      </c>
      <c r="D120" s="3"/>
      <c r="E120" s="3"/>
      <c r="F120" s="3"/>
      <c r="G120" s="3"/>
      <c r="H120" s="3"/>
      <c r="I120" s="3"/>
      <c r="J120" s="3"/>
      <c r="K120" s="3"/>
      <c r="L120" s="333">
        <f>IF(Calc_etu!O68=1,"x","")</f>
      </c>
      <c r="M120" s="3"/>
      <c r="N120" s="334">
        <f>IF(Calc_etu!AG68=1,"x","")</f>
      </c>
      <c r="O120" s="3"/>
      <c r="P120" s="3"/>
      <c r="Q120" s="3"/>
      <c r="R120" s="335">
        <f>IF(Calc_etu!AY68=1,"x","")</f>
      </c>
      <c r="S120" s="336">
        <f>Calc_etu!BN68</f>
        <v>0</v>
      </c>
      <c r="T120" s="15"/>
      <c r="U120" s="3"/>
      <c r="V120" s="3"/>
      <c r="W120" s="3"/>
      <c r="X120" s="420"/>
      <c r="Y120" s="1"/>
      <c r="Z120" s="55"/>
      <c r="AA120" s="55"/>
    </row>
    <row r="121" spans="1:27" ht="12.75">
      <c r="A121" s="3">
        <v>61</v>
      </c>
      <c r="B121" s="3"/>
      <c r="C121" s="3" t="s">
        <v>38</v>
      </c>
      <c r="D121" s="3"/>
      <c r="E121" s="3"/>
      <c r="F121" s="3"/>
      <c r="G121" s="3"/>
      <c r="H121" s="3"/>
      <c r="I121" s="3"/>
      <c r="J121" s="3"/>
      <c r="K121" s="3"/>
      <c r="L121" s="333">
        <f>IF(Calc_etu!O69=1,"x","")</f>
      </c>
      <c r="M121" s="3"/>
      <c r="N121" s="334">
        <f>IF(Calc_etu!AG69=1,"x","")</f>
      </c>
      <c r="O121" s="3"/>
      <c r="P121" s="3"/>
      <c r="Q121" s="3"/>
      <c r="R121" s="335">
        <f>IF(Calc_etu!AY69=1,"x","")</f>
      </c>
      <c r="S121" s="336">
        <f>Calc_etu!BN69</f>
        <v>0</v>
      </c>
      <c r="T121" s="15"/>
      <c r="U121" s="3"/>
      <c r="V121" s="3"/>
      <c r="W121" s="3"/>
      <c r="X121" s="420"/>
      <c r="Y121" s="1"/>
      <c r="Z121" s="55"/>
      <c r="AA121" s="55"/>
    </row>
    <row r="122" spans="1:27" ht="12.75">
      <c r="A122" s="3">
        <v>62</v>
      </c>
      <c r="B122" s="3"/>
      <c r="C122" s="3" t="s">
        <v>39</v>
      </c>
      <c r="D122" s="3"/>
      <c r="E122" s="3"/>
      <c r="F122" s="3"/>
      <c r="G122" s="3"/>
      <c r="H122" s="3"/>
      <c r="I122" s="3"/>
      <c r="J122" s="3"/>
      <c r="K122" s="3"/>
      <c r="L122" s="333">
        <f>IF(Calc_etu!O70=1,"x","")</f>
      </c>
      <c r="M122" s="3"/>
      <c r="N122" s="334">
        <f>IF(Calc_etu!AG70=1,"x","")</f>
      </c>
      <c r="O122" s="3"/>
      <c r="P122" s="3"/>
      <c r="Q122" s="3"/>
      <c r="R122" s="335">
        <f>IF(Calc_etu!AY70=1,"x","")</f>
      </c>
      <c r="S122" s="336">
        <f>Calc_etu!BN70</f>
        <v>0</v>
      </c>
      <c r="T122" s="15"/>
      <c r="U122" s="3"/>
      <c r="V122" s="3"/>
      <c r="W122" s="3"/>
      <c r="X122" s="420"/>
      <c r="Y122" s="1"/>
      <c r="Z122" s="55"/>
      <c r="AA122" s="55"/>
    </row>
    <row r="123" spans="1:27" ht="12.75">
      <c r="A123" s="3">
        <v>63</v>
      </c>
      <c r="B123" s="3"/>
      <c r="C123" s="3" t="s">
        <v>40</v>
      </c>
      <c r="D123" s="3"/>
      <c r="E123" s="3"/>
      <c r="F123" s="3"/>
      <c r="G123" s="3"/>
      <c r="H123" s="3"/>
      <c r="I123" s="3"/>
      <c r="J123" s="3"/>
      <c r="K123" s="3"/>
      <c r="L123" s="333">
        <f>IF(Calc_etu!O71=1,"x","")</f>
      </c>
      <c r="M123" s="3"/>
      <c r="N123" s="334">
        <f>IF(Calc_etu!AG71=1,"x","")</f>
      </c>
      <c r="O123" s="3"/>
      <c r="P123" s="3"/>
      <c r="Q123" s="3"/>
      <c r="R123" s="335">
        <f>IF(Calc_etu!AY71=1,"x","")</f>
      </c>
      <c r="S123" s="336">
        <f>Calc_etu!BN71</f>
        <v>0</v>
      </c>
      <c r="T123" s="15"/>
      <c r="U123" s="3"/>
      <c r="V123" s="3"/>
      <c r="W123" s="3"/>
      <c r="X123" s="420"/>
      <c r="Y123" s="1"/>
      <c r="Z123" s="55"/>
      <c r="AA123" s="55"/>
    </row>
    <row r="124" spans="1:27" ht="12.75">
      <c r="A124" s="3">
        <v>64</v>
      </c>
      <c r="B124" s="3"/>
      <c r="C124" s="3" t="s">
        <v>41</v>
      </c>
      <c r="D124" s="3"/>
      <c r="E124" s="3"/>
      <c r="F124" s="3"/>
      <c r="G124" s="3"/>
      <c r="H124" s="3"/>
      <c r="I124" s="3"/>
      <c r="J124" s="3"/>
      <c r="K124" s="3"/>
      <c r="L124" s="333">
        <f>IF(Calc_etu!O72=1,"x","")</f>
      </c>
      <c r="M124" s="3"/>
      <c r="N124" s="334">
        <f>IF(Calc_etu!AG72=1,"x","")</f>
      </c>
      <c r="O124" s="3"/>
      <c r="P124" s="3"/>
      <c r="Q124" s="3"/>
      <c r="R124" s="335">
        <f>IF(Calc_etu!AY72=1,"x","")</f>
      </c>
      <c r="S124" s="336">
        <f>Calc_etu!BN72</f>
        <v>0</v>
      </c>
      <c r="T124" s="15"/>
      <c r="U124" s="3"/>
      <c r="V124" s="3"/>
      <c r="W124" s="3"/>
      <c r="X124" s="340"/>
      <c r="Y124" s="1"/>
      <c r="Z124" s="55"/>
      <c r="AA124" s="55"/>
    </row>
    <row r="125" spans="1:27" ht="12.75">
      <c r="A125" s="3">
        <v>65</v>
      </c>
      <c r="B125" s="3"/>
      <c r="C125" s="3" t="s">
        <v>42</v>
      </c>
      <c r="D125" s="3"/>
      <c r="E125" s="3"/>
      <c r="F125" s="3"/>
      <c r="G125" s="3"/>
      <c r="H125" s="3"/>
      <c r="I125" s="3"/>
      <c r="J125" s="3"/>
      <c r="K125" s="3"/>
      <c r="L125" s="333">
        <f>IF(Calc_etu!O73=1,"x","")</f>
      </c>
      <c r="M125" s="3"/>
      <c r="N125" s="334">
        <f>IF(Calc_etu!AG73=1,"x","")</f>
      </c>
      <c r="O125" s="3"/>
      <c r="P125" s="3"/>
      <c r="Q125" s="3"/>
      <c r="R125" s="335">
        <f>IF(Calc_etu!AY73=1,"x","")</f>
      </c>
      <c r="S125" s="336">
        <f>Calc_etu!BN73</f>
        <v>0</v>
      </c>
      <c r="T125" s="15"/>
      <c r="U125" s="3"/>
      <c r="V125" s="3"/>
      <c r="W125" s="3"/>
      <c r="X125" s="340"/>
      <c r="Y125" s="1"/>
      <c r="Z125" s="55"/>
      <c r="AA125" s="55"/>
    </row>
    <row r="126" spans="1:27" ht="12.75">
      <c r="A126" s="3">
        <v>66</v>
      </c>
      <c r="B126" s="3"/>
      <c r="C126" s="3" t="s">
        <v>3</v>
      </c>
      <c r="D126" s="3"/>
      <c r="E126" s="3"/>
      <c r="F126" s="3"/>
      <c r="G126" s="3"/>
      <c r="H126" s="3"/>
      <c r="I126" s="3"/>
      <c r="J126" s="3"/>
      <c r="K126" s="3"/>
      <c r="L126" s="333">
        <f>IF(Calc_etu!O74=1,"x","")</f>
      </c>
      <c r="M126" s="3"/>
      <c r="N126" s="334">
        <f>IF(Calc_etu!AG74=1,"x","")</f>
      </c>
      <c r="O126" s="3"/>
      <c r="P126" s="3"/>
      <c r="Q126" s="3"/>
      <c r="R126" s="335">
        <f>IF(Calc_etu!AY74=1,"x","")</f>
      </c>
      <c r="S126" s="336">
        <f>Calc_etu!BN74</f>
        <v>0</v>
      </c>
      <c r="T126" s="15"/>
      <c r="U126" s="3"/>
      <c r="V126" s="3"/>
      <c r="W126" s="3"/>
      <c r="X126" s="340"/>
      <c r="Y126" s="1"/>
      <c r="Z126" s="55"/>
      <c r="AA126" s="55"/>
    </row>
    <row r="127" spans="1:27" ht="12.75">
      <c r="A127" s="3">
        <v>67</v>
      </c>
      <c r="B127" s="3"/>
      <c r="C127" s="3" t="s">
        <v>43</v>
      </c>
      <c r="D127" s="3"/>
      <c r="E127" s="3"/>
      <c r="F127" s="3"/>
      <c r="G127" s="3"/>
      <c r="H127" s="3"/>
      <c r="I127" s="3"/>
      <c r="J127" s="3"/>
      <c r="K127" s="3"/>
      <c r="L127" s="333">
        <f>IF(Calc_etu!O76=1,"x","")</f>
      </c>
      <c r="M127" s="3"/>
      <c r="N127" s="334">
        <f>IF(Calc_etu!AG76=1,"x","")</f>
      </c>
      <c r="O127" s="3"/>
      <c r="P127" s="3"/>
      <c r="Q127" s="3"/>
      <c r="R127" s="335">
        <f>IF(Calc_etu!AY76=1,"x","")</f>
      </c>
      <c r="S127" s="336">
        <f>Calc_etu!BN76</f>
        <v>0</v>
      </c>
      <c r="T127" s="15"/>
      <c r="U127" s="3"/>
      <c r="V127" s="3"/>
      <c r="W127" s="3"/>
      <c r="X127" s="340"/>
      <c r="Y127" s="1"/>
      <c r="Z127" s="55"/>
      <c r="AA127" s="55"/>
    </row>
    <row r="128" spans="1:27" ht="12.75" customHeight="1">
      <c r="A128" s="3"/>
      <c r="B128" s="3"/>
      <c r="C128" s="3"/>
      <c r="D128" s="3"/>
      <c r="E128" s="3"/>
      <c r="F128" s="3"/>
      <c r="G128" s="3"/>
      <c r="H128" s="14"/>
      <c r="I128" s="3"/>
      <c r="J128" s="3"/>
      <c r="K128" s="3"/>
      <c r="L128" s="327"/>
      <c r="M128" s="3"/>
      <c r="N128" s="334"/>
      <c r="O128" s="3"/>
      <c r="P128" s="3"/>
      <c r="Q128" s="3"/>
      <c r="R128" s="335"/>
      <c r="S128" s="344"/>
      <c r="T128" s="15"/>
      <c r="U128" s="3"/>
      <c r="V128" s="3"/>
      <c r="W128" s="3"/>
      <c r="X128" s="3"/>
      <c r="Y128" s="1"/>
      <c r="Z128" s="55"/>
      <c r="AA128" s="55"/>
    </row>
    <row r="129" spans="1:27" ht="12.75" customHeight="1">
      <c r="A129" s="3"/>
      <c r="B129" s="3"/>
      <c r="C129" s="13" t="s">
        <v>431</v>
      </c>
      <c r="D129" s="3"/>
      <c r="E129" s="3"/>
      <c r="F129" s="3"/>
      <c r="G129" s="3"/>
      <c r="H129" s="16"/>
      <c r="I129" s="3"/>
      <c r="J129" s="3"/>
      <c r="K129" s="3"/>
      <c r="L129" s="327"/>
      <c r="M129" s="5"/>
      <c r="N129" s="330"/>
      <c r="O129" s="3"/>
      <c r="P129" s="3"/>
      <c r="Q129" s="3"/>
      <c r="R129" s="331"/>
      <c r="S129" s="336"/>
      <c r="T129" s="15"/>
      <c r="U129" s="3"/>
      <c r="V129" s="3"/>
      <c r="W129" s="3"/>
      <c r="X129" s="3"/>
      <c r="Y129" s="1"/>
      <c r="Z129" s="55"/>
      <c r="AA129" s="55"/>
    </row>
    <row r="130" spans="1:27" ht="12.75" customHeight="1">
      <c r="A130" s="3">
        <v>77</v>
      </c>
      <c r="B130" s="3"/>
      <c r="C130" s="422" t="s">
        <v>432</v>
      </c>
      <c r="D130" s="422"/>
      <c r="E130" s="422"/>
      <c r="F130" s="3"/>
      <c r="G130" s="3"/>
      <c r="H130" s="16"/>
      <c r="I130" s="3"/>
      <c r="J130" s="3"/>
      <c r="K130" s="3"/>
      <c r="L130" s="333">
        <f>IF(Calc_etu!BG109=1,"x","")</f>
      </c>
      <c r="M130" s="355" t="b">
        <v>0</v>
      </c>
      <c r="N130" s="330"/>
      <c r="O130" s="3"/>
      <c r="P130" s="3"/>
      <c r="Q130" s="3"/>
      <c r="R130" s="331"/>
      <c r="S130" s="336">
        <f>Calc_etu!BN109</f>
        <v>0</v>
      </c>
      <c r="T130" s="15"/>
      <c r="U130" s="3"/>
      <c r="V130" s="3"/>
      <c r="W130" s="3"/>
      <c r="X130" s="3"/>
      <c r="Y130" s="1"/>
      <c r="Z130" s="55"/>
      <c r="AA130" s="55"/>
    </row>
    <row r="131" spans="1:27" ht="12.75" customHeight="1">
      <c r="A131" s="3">
        <v>78</v>
      </c>
      <c r="B131" s="3"/>
      <c r="C131" s="422" t="s">
        <v>433</v>
      </c>
      <c r="D131" s="422"/>
      <c r="E131" s="422"/>
      <c r="F131" s="422"/>
      <c r="G131" s="422"/>
      <c r="H131" s="16"/>
      <c r="I131" s="3"/>
      <c r="J131" s="3"/>
      <c r="K131" s="3"/>
      <c r="L131" s="333">
        <f>IF(Calc_etu!BG110=1,"x","")</f>
      </c>
      <c r="M131" s="355" t="b">
        <v>0</v>
      </c>
      <c r="N131" s="330"/>
      <c r="O131" s="3"/>
      <c r="P131" s="3"/>
      <c r="Q131" s="3"/>
      <c r="R131" s="331"/>
      <c r="S131" s="336">
        <f>Calc_etu!BN110</f>
        <v>0</v>
      </c>
      <c r="T131" s="15"/>
      <c r="U131" s="3"/>
      <c r="V131" s="3"/>
      <c r="W131" s="3"/>
      <c r="X131" s="3"/>
      <c r="Y131" s="1"/>
      <c r="Z131" s="55"/>
      <c r="AA131" s="55"/>
    </row>
    <row r="132" spans="1:27" ht="6" customHeight="1">
      <c r="A132" s="3"/>
      <c r="B132" s="3"/>
      <c r="C132" s="3"/>
      <c r="D132" s="3"/>
      <c r="E132" s="3"/>
      <c r="F132" s="3"/>
      <c r="G132" s="3"/>
      <c r="H132" s="16"/>
      <c r="I132" s="3"/>
      <c r="J132" s="3"/>
      <c r="K132" s="3"/>
      <c r="L132" s="327"/>
      <c r="M132" s="5"/>
      <c r="N132" s="330"/>
      <c r="O132" s="3"/>
      <c r="P132" s="3"/>
      <c r="Q132" s="3"/>
      <c r="R132" s="331"/>
      <c r="S132" s="336"/>
      <c r="T132" s="15"/>
      <c r="U132" s="3"/>
      <c r="V132" s="3"/>
      <c r="W132" s="3"/>
      <c r="X132" s="3"/>
      <c r="Y132" s="1"/>
      <c r="Z132" s="55"/>
      <c r="AA132" s="55"/>
    </row>
    <row r="133" spans="1:27" ht="12.75" customHeight="1">
      <c r="A133" s="3"/>
      <c r="B133" s="3"/>
      <c r="C133" s="424" t="s">
        <v>95</v>
      </c>
      <c r="D133" s="424"/>
      <c r="E133" s="424"/>
      <c r="F133" s="424"/>
      <c r="G133" s="345"/>
      <c r="H133" s="16"/>
      <c r="I133" s="3"/>
      <c r="J133" s="3"/>
      <c r="K133" s="3"/>
      <c r="L133" s="327"/>
      <c r="M133" s="5"/>
      <c r="N133" s="330"/>
      <c r="O133" s="3"/>
      <c r="P133" s="3"/>
      <c r="Q133" s="3"/>
      <c r="R133" s="331"/>
      <c r="S133" s="336"/>
      <c r="T133" s="15"/>
      <c r="U133" s="3"/>
      <c r="V133" s="3"/>
      <c r="W133" s="3"/>
      <c r="X133" s="3"/>
      <c r="Y133" s="1"/>
      <c r="Z133" s="55"/>
      <c r="AA133" s="55"/>
    </row>
    <row r="134" spans="1:27" ht="12.75" customHeight="1">
      <c r="A134" s="3">
        <v>79</v>
      </c>
      <c r="B134" s="3"/>
      <c r="C134" s="422" t="s">
        <v>415</v>
      </c>
      <c r="D134" s="422"/>
      <c r="E134" s="422"/>
      <c r="F134" s="422"/>
      <c r="G134" s="345"/>
      <c r="H134" s="3"/>
      <c r="I134" s="3"/>
      <c r="J134" s="360">
        <v>0</v>
      </c>
      <c r="K134" s="346"/>
      <c r="L134" s="327"/>
      <c r="M134" s="5"/>
      <c r="N134" s="330"/>
      <c r="O134" s="3"/>
      <c r="P134" s="3"/>
      <c r="Q134" s="3"/>
      <c r="R134" s="331"/>
      <c r="S134" s="336">
        <f>Calc_etu!BN108</f>
        <v>0</v>
      </c>
      <c r="T134" s="15"/>
      <c r="U134" s="3"/>
      <c r="V134" s="3"/>
      <c r="W134" s="3"/>
      <c r="X134" s="3"/>
      <c r="Y134" s="1"/>
      <c r="Z134" s="55"/>
      <c r="AA134" s="55"/>
    </row>
    <row r="135" spans="1:27" ht="6" customHeight="1">
      <c r="A135" s="3"/>
      <c r="B135" s="3"/>
      <c r="C135" s="332"/>
      <c r="D135" s="332"/>
      <c r="E135" s="332"/>
      <c r="F135" s="332"/>
      <c r="G135" s="345"/>
      <c r="H135" s="116"/>
      <c r="I135" s="116"/>
      <c r="J135" s="14"/>
      <c r="K135" s="3"/>
      <c r="L135" s="327"/>
      <c r="M135" s="5"/>
      <c r="N135" s="330"/>
      <c r="O135" s="3"/>
      <c r="P135" s="3"/>
      <c r="Q135" s="3"/>
      <c r="R135" s="331"/>
      <c r="S135" s="336"/>
      <c r="T135" s="15"/>
      <c r="U135" s="3"/>
      <c r="V135" s="3"/>
      <c r="W135" s="3"/>
      <c r="X135" s="3"/>
      <c r="Y135" s="1"/>
      <c r="Z135" s="55"/>
      <c r="AA135" s="55"/>
    </row>
    <row r="136" spans="1:27" ht="15" customHeight="1">
      <c r="A136" s="3">
        <v>80</v>
      </c>
      <c r="B136" s="3"/>
      <c r="C136" s="422" t="s">
        <v>434</v>
      </c>
      <c r="D136" s="422"/>
      <c r="E136" s="422"/>
      <c r="F136" s="332"/>
      <c r="G136" s="345"/>
      <c r="H136" s="116"/>
      <c r="I136" s="116"/>
      <c r="J136" s="3"/>
      <c r="K136" s="3"/>
      <c r="L136" s="333">
        <f>IF(Calc_etu!BG111=1,"x","")</f>
      </c>
      <c r="M136" s="355" t="b">
        <v>0</v>
      </c>
      <c r="N136" s="330"/>
      <c r="O136" s="3"/>
      <c r="P136" s="3"/>
      <c r="Q136" s="3"/>
      <c r="R136" s="331"/>
      <c r="S136" s="336">
        <f>Calc_etu!BN111</f>
        <v>0</v>
      </c>
      <c r="T136" s="15"/>
      <c r="U136" s="3"/>
      <c r="V136" s="3"/>
      <c r="W136" s="3"/>
      <c r="X136" s="3"/>
      <c r="Y136" s="1"/>
      <c r="Z136" s="55"/>
      <c r="AA136" s="55"/>
    </row>
    <row r="137" spans="1:27" ht="12.75">
      <c r="A137" s="3"/>
      <c r="B137" s="3"/>
      <c r="C137" s="13"/>
      <c r="D137" s="13"/>
      <c r="E137" s="3"/>
      <c r="F137" s="3"/>
      <c r="G137" s="3"/>
      <c r="H137" s="3"/>
      <c r="I137" s="3"/>
      <c r="J137" s="3"/>
      <c r="K137" s="3"/>
      <c r="L137" s="327"/>
      <c r="M137" s="3"/>
      <c r="N137" s="330"/>
      <c r="O137" s="3"/>
      <c r="P137" s="3"/>
      <c r="Q137" s="3"/>
      <c r="R137" s="335"/>
      <c r="S137" s="5"/>
      <c r="T137" s="3"/>
      <c r="U137" s="3"/>
      <c r="V137" s="3"/>
      <c r="W137" s="3"/>
      <c r="X137" s="3"/>
      <c r="Y137" s="1"/>
      <c r="Z137" s="55"/>
      <c r="AA137" s="55"/>
    </row>
    <row r="138" spans="1:27" ht="15">
      <c r="A138" s="3"/>
      <c r="B138" s="3"/>
      <c r="C138" s="347"/>
      <c r="D138" s="348"/>
      <c r="E138" s="13"/>
      <c r="F138" s="3"/>
      <c r="G138" s="3"/>
      <c r="H138" s="3"/>
      <c r="I138" s="3"/>
      <c r="J138" s="3"/>
      <c r="K138" s="3"/>
      <c r="L138" s="3"/>
      <c r="M138" s="3"/>
      <c r="N138" s="3"/>
      <c r="O138" s="3"/>
      <c r="P138" s="3"/>
      <c r="Q138" s="3"/>
      <c r="R138" s="349"/>
      <c r="S138" s="350"/>
      <c r="T138" s="351"/>
      <c r="U138" s="3"/>
      <c r="V138" s="3"/>
      <c r="W138" s="3"/>
      <c r="X138" s="340"/>
      <c r="Y138" s="1"/>
      <c r="Z138" s="55"/>
      <c r="AA138" s="55"/>
    </row>
    <row r="139" spans="1:27" ht="15">
      <c r="A139" s="3"/>
      <c r="B139" s="3"/>
      <c r="C139" s="347" t="s">
        <v>91</v>
      </c>
      <c r="D139" s="352">
        <f>Calc_etu!D120</f>
        <v>0</v>
      </c>
      <c r="E139" s="321" t="s">
        <v>90</v>
      </c>
      <c r="F139" s="3"/>
      <c r="G139" s="3"/>
      <c r="H139" s="3"/>
      <c r="I139" s="3"/>
      <c r="J139" s="3"/>
      <c r="K139" s="3"/>
      <c r="L139" s="3"/>
      <c r="M139" s="3"/>
      <c r="N139" s="3"/>
      <c r="O139" s="3"/>
      <c r="P139" s="3"/>
      <c r="Q139" s="3"/>
      <c r="R139" s="349" t="s">
        <v>318</v>
      </c>
      <c r="S139" s="350">
        <f>Calc_etu!D121</f>
        <v>0</v>
      </c>
      <c r="T139" s="351" t="s">
        <v>319</v>
      </c>
      <c r="U139" s="353">
        <f>Calc_etu!BN117</f>
      </c>
      <c r="V139" s="3"/>
      <c r="W139" s="3"/>
      <c r="X139" s="340"/>
      <c r="Y139" s="1"/>
      <c r="Z139" s="55"/>
      <c r="AA139" s="55"/>
    </row>
    <row r="140" spans="1:27" ht="9.75" customHeight="1">
      <c r="A140" s="3"/>
      <c r="B140" s="3"/>
      <c r="C140" s="347"/>
      <c r="D140" s="348"/>
      <c r="E140" s="13"/>
      <c r="F140" s="3"/>
      <c r="G140" s="3"/>
      <c r="H140" s="3"/>
      <c r="I140" s="3"/>
      <c r="J140" s="3"/>
      <c r="K140" s="3"/>
      <c r="L140" s="3"/>
      <c r="M140" s="3"/>
      <c r="N140" s="3"/>
      <c r="O140" s="3"/>
      <c r="P140" s="3"/>
      <c r="Q140" s="3"/>
      <c r="R140" s="349"/>
      <c r="S140" s="350"/>
      <c r="T140" s="351"/>
      <c r="U140" s="3"/>
      <c r="V140" s="3"/>
      <c r="W140" s="3"/>
      <c r="X140" s="340"/>
      <c r="Y140" s="1"/>
      <c r="Z140" s="55"/>
      <c r="AA140" s="55"/>
    </row>
    <row r="141" spans="1:27" ht="15">
      <c r="A141" s="3"/>
      <c r="B141" s="3"/>
      <c r="C141" s="347"/>
      <c r="D141" s="352">
        <f>D139*1.196</f>
        <v>0</v>
      </c>
      <c r="E141" s="321" t="s">
        <v>524</v>
      </c>
      <c r="F141" s="3"/>
      <c r="G141" s="3"/>
      <c r="H141" s="3"/>
      <c r="I141" s="3"/>
      <c r="J141" s="3"/>
      <c r="K141" s="3"/>
      <c r="L141" s="3"/>
      <c r="M141" s="3"/>
      <c r="N141" s="3"/>
      <c r="O141" s="3"/>
      <c r="P141" s="3"/>
      <c r="Q141" s="3"/>
      <c r="R141" s="349"/>
      <c r="S141" s="350"/>
      <c r="T141" s="351"/>
      <c r="U141" s="3"/>
      <c r="V141" s="3"/>
      <c r="W141" s="3"/>
      <c r="X141" s="340"/>
      <c r="Y141" s="1"/>
      <c r="Z141" s="55"/>
      <c r="AA141" s="55"/>
    </row>
    <row r="142" spans="1:27" ht="7.5" customHeight="1">
      <c r="A142" s="3"/>
      <c r="B142" s="3"/>
      <c r="C142" s="347"/>
      <c r="D142" s="348"/>
      <c r="E142" s="13"/>
      <c r="F142" s="3"/>
      <c r="G142" s="3"/>
      <c r="H142" s="3"/>
      <c r="I142" s="3"/>
      <c r="J142" s="3"/>
      <c r="K142" s="3"/>
      <c r="L142" s="3"/>
      <c r="M142" s="3"/>
      <c r="N142" s="3"/>
      <c r="O142" s="3"/>
      <c r="P142" s="3"/>
      <c r="Q142" s="3"/>
      <c r="R142" s="349"/>
      <c r="S142" s="350"/>
      <c r="T142" s="351"/>
      <c r="U142" s="3"/>
      <c r="V142" s="3"/>
      <c r="W142" s="3"/>
      <c r="X142" s="340"/>
      <c r="Y142" s="1"/>
      <c r="Z142" s="55"/>
      <c r="AA142" s="55"/>
    </row>
    <row r="143" spans="1:27" ht="12.75">
      <c r="A143" s="3"/>
      <c r="B143" s="3" t="s">
        <v>235</v>
      </c>
      <c r="C143" s="3"/>
      <c r="D143" s="3"/>
      <c r="E143" s="3"/>
      <c r="F143" s="3"/>
      <c r="G143" s="3"/>
      <c r="H143" s="3"/>
      <c r="I143" s="3"/>
      <c r="J143" s="3"/>
      <c r="K143" s="3"/>
      <c r="L143" s="3"/>
      <c r="M143" s="3"/>
      <c r="N143" s="3"/>
      <c r="O143" s="3"/>
      <c r="P143" s="3"/>
      <c r="Q143" s="3"/>
      <c r="R143" s="3"/>
      <c r="S143" s="3"/>
      <c r="T143" s="3"/>
      <c r="U143" s="3"/>
      <c r="V143" s="3"/>
      <c r="W143" s="3"/>
      <c r="X143" s="3"/>
      <c r="Y143" s="1"/>
      <c r="Z143" s="55"/>
      <c r="AA143" s="55"/>
    </row>
    <row r="144" spans="1:27" ht="12.75">
      <c r="A144" s="3"/>
      <c r="B144" s="3"/>
      <c r="C144" s="3"/>
      <c r="D144" s="3"/>
      <c r="E144" s="3"/>
      <c r="F144" s="3"/>
      <c r="G144" s="3"/>
      <c r="H144" s="3"/>
      <c r="I144" s="3"/>
      <c r="J144" s="3"/>
      <c r="K144" s="3"/>
      <c r="L144" s="3"/>
      <c r="M144" s="3"/>
      <c r="N144" s="3"/>
      <c r="O144" s="3"/>
      <c r="P144" s="3"/>
      <c r="Q144" s="3"/>
      <c r="R144" s="3"/>
      <c r="S144" s="3"/>
      <c r="T144" s="3"/>
      <c r="U144" s="3"/>
      <c r="V144" s="3"/>
      <c r="W144" s="3"/>
      <c r="X144" s="3"/>
      <c r="Y144" s="1"/>
      <c r="Z144" s="55"/>
      <c r="AA144" s="55"/>
    </row>
    <row r="145" spans="1:27" ht="12.75">
      <c r="A145" s="3"/>
      <c r="B145" s="3"/>
      <c r="C145" s="3"/>
      <c r="D145" s="3"/>
      <c r="E145" s="3"/>
      <c r="F145" s="3"/>
      <c r="G145" s="3"/>
      <c r="H145" s="3"/>
      <c r="I145" s="3"/>
      <c r="J145" s="3"/>
      <c r="K145" s="3"/>
      <c r="L145" s="3"/>
      <c r="M145" s="3"/>
      <c r="N145" s="3"/>
      <c r="O145" s="3"/>
      <c r="P145" s="3"/>
      <c r="Q145" s="3"/>
      <c r="R145" s="3"/>
      <c r="S145" s="3"/>
      <c r="T145" s="3"/>
      <c r="U145" s="3"/>
      <c r="V145" s="3"/>
      <c r="W145" s="3"/>
      <c r="X145" s="3"/>
      <c r="Y145" s="1"/>
      <c r="Z145" s="55"/>
      <c r="AA145" s="55"/>
    </row>
    <row r="146" spans="1:27"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55"/>
      <c r="AA146" s="55"/>
    </row>
    <row r="147" spans="1:27"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55"/>
      <c r="AA147" s="55"/>
    </row>
    <row r="148" spans="1:27"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55"/>
      <c r="AA148" s="55"/>
    </row>
    <row r="149" spans="1:27"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55"/>
      <c r="AA149" s="55"/>
    </row>
    <row r="150" spans="1:27"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55"/>
      <c r="AA150" s="55"/>
    </row>
    <row r="151" spans="1:27"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55"/>
      <c r="AA151" s="55"/>
    </row>
    <row r="152" spans="1:27"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55"/>
      <c r="AA152" s="55"/>
    </row>
    <row r="153" spans="1:27"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55"/>
      <c r="AA153" s="55"/>
    </row>
    <row r="154" spans="1:27"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55"/>
      <c r="AA154" s="55"/>
    </row>
    <row r="155" spans="1:27"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55"/>
      <c r="AA155" s="55"/>
    </row>
    <row r="156" spans="1:27"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55"/>
      <c r="AA156" s="55"/>
    </row>
    <row r="157" spans="1:27"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55"/>
      <c r="AA157" s="55"/>
    </row>
    <row r="158" spans="1:27"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55"/>
      <c r="AA158" s="55"/>
    </row>
    <row r="159" spans="1:27"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55"/>
      <c r="AA159" s="55"/>
    </row>
    <row r="160" spans="1:27"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55"/>
      <c r="AA160" s="55"/>
    </row>
    <row r="161" spans="1:27"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55"/>
      <c r="AA161" s="55"/>
    </row>
    <row r="162" spans="1:27"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55"/>
      <c r="AA162" s="55"/>
    </row>
    <row r="163" spans="1:27"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55"/>
      <c r="AA163" s="55"/>
    </row>
    <row r="164" spans="1:27"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55"/>
      <c r="AA164" s="55"/>
    </row>
    <row r="165" spans="1:27"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55"/>
      <c r="AA165" s="55"/>
    </row>
    <row r="166" spans="1:27"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55"/>
      <c r="AA166" s="55"/>
    </row>
    <row r="167" spans="1:27"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55"/>
      <c r="AA167" s="55"/>
    </row>
    <row r="168" spans="1:27"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55"/>
      <c r="AA168" s="55"/>
    </row>
    <row r="169" spans="1:27"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55"/>
      <c r="AA169" s="55"/>
    </row>
    <row r="170" spans="1:27"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55"/>
      <c r="AA170" s="55"/>
    </row>
    <row r="171" spans="1:27"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55"/>
      <c r="AA171" s="55"/>
    </row>
    <row r="172" spans="1:27"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55"/>
      <c r="AA172" s="55"/>
    </row>
    <row r="173" spans="1:27"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55"/>
      <c r="AA173" s="55"/>
    </row>
    <row r="174" spans="1:27"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55"/>
      <c r="AA174" s="55"/>
    </row>
    <row r="175" spans="1:27"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55"/>
      <c r="AA175" s="55"/>
    </row>
    <row r="176" spans="1:27"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55"/>
      <c r="AA176" s="55"/>
    </row>
    <row r="177" spans="1:27"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55"/>
      <c r="AA177" s="55"/>
    </row>
    <row r="178" spans="1:27"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55"/>
      <c r="AA178" s="55"/>
    </row>
    <row r="179" spans="1:27"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55"/>
      <c r="AA179" s="55"/>
    </row>
  </sheetData>
  <sheetProtection password="9C19" sheet="1" objects="1" scenarios="1" selectLockedCells="1"/>
  <mergeCells count="33">
    <mergeCell ref="X104:X108"/>
    <mergeCell ref="X9:X11"/>
    <mergeCell ref="X12:X13"/>
    <mergeCell ref="X17:X20"/>
    <mergeCell ref="X90:X94"/>
    <mergeCell ref="X27:X37"/>
    <mergeCell ref="X63:X72"/>
    <mergeCell ref="X38:X44"/>
    <mergeCell ref="X75:X85"/>
    <mergeCell ref="C130:E130"/>
    <mergeCell ref="C72:D72"/>
    <mergeCell ref="C76:E76"/>
    <mergeCell ref="C102:D102"/>
    <mergeCell ref="C74:D74"/>
    <mergeCell ref="C68:D68"/>
    <mergeCell ref="C27:G27"/>
    <mergeCell ref="C48:D48"/>
    <mergeCell ref="C56:D56"/>
    <mergeCell ref="C52:D52"/>
    <mergeCell ref="C57:D57"/>
    <mergeCell ref="C58:D58"/>
    <mergeCell ref="C59:D59"/>
    <mergeCell ref="C60:D60"/>
    <mergeCell ref="X118:X123"/>
    <mergeCell ref="C136:E136"/>
    <mergeCell ref="A64:G64"/>
    <mergeCell ref="X47:X60"/>
    <mergeCell ref="X110:X116"/>
    <mergeCell ref="C133:F133"/>
    <mergeCell ref="C134:F134"/>
    <mergeCell ref="X95:X101"/>
    <mergeCell ref="C131:G131"/>
    <mergeCell ref="C71:D71"/>
  </mergeCells>
  <conditionalFormatting sqref="J38">
    <cfRule type="expression" priority="1" dxfId="9" stopIfTrue="1">
      <formula>E38=""</formula>
    </cfRule>
  </conditionalFormatting>
  <conditionalFormatting sqref="H135:H136 J134 D138:D142 M21 G13 S13 M13 S30:T136 M17">
    <cfRule type="cellIs" priority="1" dxfId="2" operator="equal" stopIfTrue="1">
      <formula>0</formula>
    </cfRule>
  </conditionalFormatting>
  <conditionalFormatting sqref="M19">
    <cfRule type="cellIs" priority="2" dxfId="9" operator="equal" stopIfTrue="1">
      <formula>0</formula>
    </cfRule>
  </conditionalFormatting>
  <conditionalFormatting sqref="E38">
    <cfRule type="cellIs" priority="4" dxfId="13" operator="equal" stopIfTrue="1">
      <formula>"Nombre de pièces"</formula>
    </cfRule>
  </conditionalFormatting>
  <printOptions/>
  <pageMargins left="0.5905511811023623" right="0.1968503937007874" top="0.3937007874015748" bottom="0.1968503937007874" header="0.5118110236220472" footer="0.5118110236220472"/>
  <pageSetup horizontalDpi="600" verticalDpi="600" orientation="portrait" paperSize="9" r:id="rId4"/>
  <rowBreaks count="2" manualBreakCount="2">
    <brk id="62" max="21" man="1"/>
    <brk id="105" max="26" man="1"/>
  </rowBreaks>
  <drawing r:id="rId3"/>
  <legacyDrawing r:id="rId2"/>
</worksheet>
</file>

<file path=xl/worksheets/sheet4.xml><?xml version="1.0" encoding="utf-8"?>
<worksheet xmlns="http://schemas.openxmlformats.org/spreadsheetml/2006/main" xmlns:r="http://schemas.openxmlformats.org/officeDocument/2006/relationships">
  <sheetPr codeName="Feuil4"/>
  <dimension ref="A1:AA113"/>
  <sheetViews>
    <sheetView showGridLines="0" zoomScalePageLayoutView="0" workbookViewId="0" topLeftCell="A1">
      <selection activeCell="S19" sqref="S19"/>
    </sheetView>
  </sheetViews>
  <sheetFormatPr defaultColWidth="11.421875" defaultRowHeight="12.75"/>
  <cols>
    <col min="1" max="1" width="5.7109375" style="0" customWidth="1"/>
    <col min="2" max="2" width="0.85546875" style="0" customWidth="1"/>
    <col min="3" max="3" width="1.7109375" style="0" customWidth="1"/>
    <col min="4" max="4" width="16.7109375" style="0" customWidth="1"/>
    <col min="5" max="5" width="1.7109375" style="0" customWidth="1"/>
    <col min="6" max="6" width="3.7109375" style="0" customWidth="1"/>
    <col min="7" max="7" width="6.7109375" style="0" customWidth="1"/>
    <col min="8" max="8" width="3.7109375" style="0" customWidth="1"/>
    <col min="9" max="9" width="1.7109375" style="0" customWidth="1"/>
    <col min="10" max="10" width="2.28125" style="0" customWidth="1"/>
    <col min="11" max="11" width="1.7109375" style="0" customWidth="1"/>
    <col min="12" max="12" width="3.7109375" style="0" customWidth="1"/>
    <col min="13" max="13" width="6.7109375" style="0" customWidth="1"/>
    <col min="14" max="14" width="3.7109375" style="0" customWidth="1"/>
    <col min="15" max="15" width="1.7109375" style="0" customWidth="1"/>
    <col min="16" max="16" width="2.28125" style="0" customWidth="1"/>
    <col min="17" max="17" width="1.7109375" style="0" customWidth="1"/>
    <col min="18" max="18" width="3.7109375" style="0" customWidth="1"/>
    <col min="19" max="19" width="6.7109375" style="0" customWidth="1"/>
    <col min="20" max="20" width="3.7109375" style="0" customWidth="1"/>
    <col min="21" max="21" width="1.7109375" style="0" customWidth="1"/>
    <col min="22" max="22" width="2.28125" style="0" customWidth="1"/>
    <col min="23" max="23" width="1.7109375" style="0" customWidth="1"/>
    <col min="24" max="24" width="22.7109375" style="0" customWidth="1"/>
    <col min="25" max="25" width="25.7109375" style="0" customWidth="1"/>
    <col min="26" max="26" width="11.7109375" style="0" customWidth="1"/>
    <col min="27" max="27" width="100.7109375" style="0" customWidth="1"/>
  </cols>
  <sheetData>
    <row r="1" spans="1:27" ht="12.75">
      <c r="A1" s="3"/>
      <c r="B1" s="3"/>
      <c r="C1" s="3"/>
      <c r="D1" s="3"/>
      <c r="E1" s="3"/>
      <c r="F1" s="3"/>
      <c r="G1" s="3"/>
      <c r="H1" s="3"/>
      <c r="I1" s="3"/>
      <c r="J1" s="3"/>
      <c r="K1" s="3"/>
      <c r="L1" s="3"/>
      <c r="M1" s="3"/>
      <c r="N1" s="3"/>
      <c r="O1" s="3"/>
      <c r="P1" s="3"/>
      <c r="Q1" s="3"/>
      <c r="R1" s="3"/>
      <c r="S1" s="3"/>
      <c r="T1" s="3"/>
      <c r="U1" s="3"/>
      <c r="V1" s="3"/>
      <c r="W1" s="3"/>
      <c r="X1" s="3"/>
      <c r="Y1" s="3"/>
      <c r="Z1" s="1"/>
      <c r="AA1" s="1"/>
    </row>
    <row r="2" spans="1:27" ht="14.25">
      <c r="A2" s="3"/>
      <c r="B2" s="3"/>
      <c r="C2" s="3"/>
      <c r="D2" s="3"/>
      <c r="E2" s="3"/>
      <c r="F2" s="3"/>
      <c r="G2" s="3"/>
      <c r="H2" s="3"/>
      <c r="I2" s="3"/>
      <c r="J2" s="3"/>
      <c r="K2" s="3"/>
      <c r="L2" s="3"/>
      <c r="M2" s="4" t="s">
        <v>113</v>
      </c>
      <c r="N2" s="3"/>
      <c r="O2" s="3"/>
      <c r="P2" s="3"/>
      <c r="Q2" s="3"/>
      <c r="R2" s="3"/>
      <c r="S2" s="3"/>
      <c r="T2" s="3"/>
      <c r="U2" s="3"/>
      <c r="V2" s="3"/>
      <c r="W2" s="3"/>
      <c r="X2" s="5"/>
      <c r="Y2" s="3"/>
      <c r="Z2" s="1"/>
      <c r="AA2" s="1"/>
    </row>
    <row r="3" spans="1:27" ht="18" customHeight="1">
      <c r="A3" s="3"/>
      <c r="B3" s="3"/>
      <c r="C3" s="3"/>
      <c r="D3" s="3"/>
      <c r="E3" s="3"/>
      <c r="F3" s="3"/>
      <c r="G3" s="3"/>
      <c r="H3" s="3"/>
      <c r="I3" s="3"/>
      <c r="J3" s="3"/>
      <c r="K3" s="3"/>
      <c r="L3" s="3"/>
      <c r="M3" s="6" t="s">
        <v>321</v>
      </c>
      <c r="N3" s="3"/>
      <c r="O3" s="3"/>
      <c r="P3" s="3"/>
      <c r="Q3" s="3"/>
      <c r="R3" s="3"/>
      <c r="S3" s="3"/>
      <c r="T3" s="3"/>
      <c r="U3" s="3"/>
      <c r="V3" s="3"/>
      <c r="W3" s="3"/>
      <c r="X3" s="5"/>
      <c r="Y3" s="3"/>
      <c r="Z3" s="1"/>
      <c r="AA3" s="1"/>
    </row>
    <row r="4" spans="1:27" ht="19.5" customHeight="1">
      <c r="A4" s="3"/>
      <c r="B4" s="3"/>
      <c r="C4" s="3"/>
      <c r="D4" s="3"/>
      <c r="E4" s="3"/>
      <c r="F4" s="3"/>
      <c r="G4" s="3"/>
      <c r="H4" s="3"/>
      <c r="I4" s="3"/>
      <c r="J4" s="3"/>
      <c r="K4" s="3"/>
      <c r="L4" s="3"/>
      <c r="M4" s="3"/>
      <c r="N4" s="3"/>
      <c r="O4" s="3"/>
      <c r="P4" s="6"/>
      <c r="Q4" s="3"/>
      <c r="R4" s="3"/>
      <c r="S4" s="3"/>
      <c r="T4" s="3"/>
      <c r="U4" s="3"/>
      <c r="V4" s="3"/>
      <c r="W4" s="3"/>
      <c r="X4" s="5"/>
      <c r="Y4" s="3"/>
      <c r="Z4" s="1"/>
      <c r="AA4" s="1"/>
    </row>
    <row r="5" spans="1:27" ht="12.75">
      <c r="A5" s="3"/>
      <c r="B5" s="3"/>
      <c r="C5" s="3"/>
      <c r="D5" s="5"/>
      <c r="E5" s="3"/>
      <c r="F5" s="3"/>
      <c r="G5" s="3"/>
      <c r="H5" s="17" t="s">
        <v>114</v>
      </c>
      <c r="I5" s="3"/>
      <c r="J5" s="3"/>
      <c r="K5" s="3"/>
      <c r="L5" s="3"/>
      <c r="M5" s="3"/>
      <c r="N5" s="3"/>
      <c r="O5" s="3"/>
      <c r="P5" s="6"/>
      <c r="Q5" s="3"/>
      <c r="R5" s="3"/>
      <c r="S5" s="3"/>
      <c r="T5" s="3"/>
      <c r="U5" s="3"/>
      <c r="V5" s="3"/>
      <c r="W5" s="3"/>
      <c r="X5" s="5"/>
      <c r="Y5" s="306"/>
      <c r="Z5" s="1"/>
      <c r="AA5" s="1"/>
    </row>
    <row r="6" spans="1:27" ht="12.75">
      <c r="A6" s="3"/>
      <c r="B6" s="3"/>
      <c r="C6" s="3"/>
      <c r="D6" s="5"/>
      <c r="E6" s="3"/>
      <c r="F6" s="3"/>
      <c r="G6" s="3"/>
      <c r="H6" s="3"/>
      <c r="I6" s="3"/>
      <c r="J6" s="3"/>
      <c r="K6" s="3"/>
      <c r="L6" s="3"/>
      <c r="M6" s="3"/>
      <c r="N6" s="3"/>
      <c r="O6" s="3"/>
      <c r="P6" s="6"/>
      <c r="Q6" s="3"/>
      <c r="R6" s="3"/>
      <c r="S6" s="3"/>
      <c r="T6" s="3"/>
      <c r="U6" s="3"/>
      <c r="V6" s="3"/>
      <c r="W6" s="3"/>
      <c r="X6" s="388" t="s">
        <v>96</v>
      </c>
      <c r="Y6" s="3"/>
      <c r="Z6" s="1"/>
      <c r="AA6" s="1"/>
    </row>
    <row r="7" spans="1:27" ht="12.75">
      <c r="A7" s="3"/>
      <c r="B7" s="3"/>
      <c r="C7" s="3"/>
      <c r="D7" s="5"/>
      <c r="E7" s="3"/>
      <c r="F7" s="3"/>
      <c r="G7" s="142" t="s">
        <v>386</v>
      </c>
      <c r="H7" s="3"/>
      <c r="I7" s="3"/>
      <c r="J7" s="3"/>
      <c r="K7" s="3"/>
      <c r="L7" s="3"/>
      <c r="M7" s="142" t="s">
        <v>393</v>
      </c>
      <c r="N7" s="3"/>
      <c r="O7" s="3"/>
      <c r="P7" s="6"/>
      <c r="Q7" s="3"/>
      <c r="R7" s="3"/>
      <c r="S7" s="142" t="s">
        <v>394</v>
      </c>
      <c r="T7" s="3"/>
      <c r="U7" s="3"/>
      <c r="V7" s="3"/>
      <c r="W7" s="3"/>
      <c r="X7" s="306" t="s">
        <v>281</v>
      </c>
      <c r="Y7" s="3"/>
      <c r="Z7" s="1"/>
      <c r="AA7" s="1"/>
    </row>
    <row r="8" spans="1:27" ht="12.75">
      <c r="A8" s="3"/>
      <c r="B8" s="3"/>
      <c r="C8" s="3"/>
      <c r="D8" s="5"/>
      <c r="E8" s="3"/>
      <c r="F8" s="3"/>
      <c r="G8" s="305"/>
      <c r="H8" s="3"/>
      <c r="I8" s="3"/>
      <c r="J8" s="3"/>
      <c r="K8" s="3"/>
      <c r="L8" s="3"/>
      <c r="M8" s="3"/>
      <c r="N8" s="3"/>
      <c r="O8" s="3"/>
      <c r="P8" s="6"/>
      <c r="Q8" s="3"/>
      <c r="R8" s="3"/>
      <c r="S8" s="3"/>
      <c r="T8" s="3"/>
      <c r="U8" s="3"/>
      <c r="V8" s="3"/>
      <c r="W8" s="3"/>
      <c r="X8" s="3" t="s">
        <v>282</v>
      </c>
      <c r="Y8" s="3"/>
      <c r="Z8" s="1"/>
      <c r="AA8" s="1"/>
    </row>
    <row r="9" spans="1:27" ht="14.25">
      <c r="A9" s="152">
        <v>1</v>
      </c>
      <c r="B9" s="152"/>
      <c r="C9" s="435" t="s">
        <v>115</v>
      </c>
      <c r="D9" s="435"/>
      <c r="E9" s="144"/>
      <c r="F9" s="144"/>
      <c r="G9" s="149"/>
      <c r="H9" s="144"/>
      <c r="I9" s="144"/>
      <c r="J9" s="144"/>
      <c r="K9" s="144"/>
      <c r="L9" s="144"/>
      <c r="M9" s="144"/>
      <c r="N9" s="144"/>
      <c r="O9" s="144"/>
      <c r="P9" s="146"/>
      <c r="Q9" s="144"/>
      <c r="R9" s="144"/>
      <c r="S9" s="144"/>
      <c r="T9" s="144"/>
      <c r="U9" s="3"/>
      <c r="V9" s="3"/>
      <c r="W9" s="3"/>
      <c r="X9" s="3" t="s">
        <v>285</v>
      </c>
      <c r="Y9" s="3"/>
      <c r="Z9" s="1"/>
      <c r="AA9" s="1"/>
    </row>
    <row r="10" spans="1:27" ht="12" customHeight="1">
      <c r="A10" s="152"/>
      <c r="B10" s="152"/>
      <c r="C10" s="158" t="s">
        <v>116</v>
      </c>
      <c r="D10" s="144"/>
      <c r="E10" s="144"/>
      <c r="F10" s="144"/>
      <c r="G10" s="357">
        <v>1</v>
      </c>
      <c r="H10" s="144"/>
      <c r="I10" s="144"/>
      <c r="J10" s="144"/>
      <c r="K10" s="144"/>
      <c r="L10" s="144"/>
      <c r="M10" s="357">
        <v>1</v>
      </c>
      <c r="N10" s="144"/>
      <c r="O10" s="144"/>
      <c r="P10" s="146"/>
      <c r="Q10" s="144"/>
      <c r="R10" s="144"/>
      <c r="S10" s="357">
        <v>1</v>
      </c>
      <c r="T10" s="144"/>
      <c r="U10" s="3"/>
      <c r="V10" s="3"/>
      <c r="W10" s="3"/>
      <c r="X10" s="436" t="s">
        <v>286</v>
      </c>
      <c r="Y10" s="436"/>
      <c r="Z10" s="1"/>
      <c r="AA10" s="1"/>
    </row>
    <row r="11" spans="1:27" ht="14.25" customHeight="1">
      <c r="A11" s="152">
        <v>2</v>
      </c>
      <c r="B11" s="152"/>
      <c r="C11" s="434" t="s">
        <v>117</v>
      </c>
      <c r="D11" s="434"/>
      <c r="E11" s="144"/>
      <c r="F11" s="144"/>
      <c r="G11" s="159"/>
      <c r="H11" s="144"/>
      <c r="I11" s="144"/>
      <c r="J11" s="144"/>
      <c r="K11" s="144"/>
      <c r="L11" s="144"/>
      <c r="M11" s="144"/>
      <c r="N11" s="144"/>
      <c r="O11" s="144"/>
      <c r="P11" s="146"/>
      <c r="Q11" s="144"/>
      <c r="R11" s="144"/>
      <c r="S11" s="144"/>
      <c r="T11" s="144"/>
      <c r="U11" s="3"/>
      <c r="V11" s="3"/>
      <c r="W11" s="3"/>
      <c r="X11" s="436"/>
      <c r="Y11" s="436"/>
      <c r="Z11" s="1"/>
      <c r="AA11" s="1"/>
    </row>
    <row r="12" spans="1:27" ht="15" customHeight="1">
      <c r="A12" s="152"/>
      <c r="B12" s="152"/>
      <c r="C12" s="158"/>
      <c r="D12" s="144"/>
      <c r="E12" s="144"/>
      <c r="F12" s="144"/>
      <c r="G12" s="357">
        <v>1</v>
      </c>
      <c r="H12" s="144"/>
      <c r="I12" s="144"/>
      <c r="J12" s="144"/>
      <c r="K12" s="144"/>
      <c r="L12" s="144"/>
      <c r="M12" s="357">
        <v>1</v>
      </c>
      <c r="N12" s="144"/>
      <c r="O12" s="144"/>
      <c r="P12" s="146"/>
      <c r="Q12" s="144"/>
      <c r="R12" s="144"/>
      <c r="S12" s="357">
        <v>1</v>
      </c>
      <c r="T12" s="144"/>
      <c r="U12" s="3"/>
      <c r="V12" s="3"/>
      <c r="W12" s="3"/>
      <c r="X12" s="436"/>
      <c r="Y12" s="436"/>
      <c r="Z12" s="1"/>
      <c r="AA12" s="1"/>
    </row>
    <row r="13" spans="1:27" ht="14.25">
      <c r="A13" s="152">
        <v>3</v>
      </c>
      <c r="B13" s="152"/>
      <c r="C13" s="434" t="s">
        <v>122</v>
      </c>
      <c r="D13" s="434"/>
      <c r="E13" s="144"/>
      <c r="F13" s="144"/>
      <c r="G13" s="132">
        <v>0</v>
      </c>
      <c r="H13" s="144"/>
      <c r="I13" s="144"/>
      <c r="J13" s="144"/>
      <c r="K13" s="144"/>
      <c r="L13" s="144"/>
      <c r="M13" s="132">
        <v>0</v>
      </c>
      <c r="N13" s="144"/>
      <c r="O13" s="144"/>
      <c r="P13" s="146"/>
      <c r="Q13" s="144"/>
      <c r="R13" s="144"/>
      <c r="S13" s="132">
        <v>0</v>
      </c>
      <c r="T13" s="144"/>
      <c r="U13" s="3"/>
      <c r="V13" s="3"/>
      <c r="W13" s="3"/>
      <c r="X13" s="5"/>
      <c r="Y13" s="326"/>
      <c r="Z13" s="1"/>
      <c r="AA13" s="1"/>
    </row>
    <row r="14" spans="1:27" ht="9.75" customHeight="1">
      <c r="A14" s="152"/>
      <c r="B14" s="152"/>
      <c r="C14" s="151"/>
      <c r="D14" s="144"/>
      <c r="E14" s="144"/>
      <c r="F14" s="144"/>
      <c r="G14" s="53"/>
      <c r="H14" s="144"/>
      <c r="I14" s="144"/>
      <c r="J14" s="144"/>
      <c r="K14" s="144"/>
      <c r="L14" s="144"/>
      <c r="M14" s="53"/>
      <c r="N14" s="144"/>
      <c r="O14" s="144"/>
      <c r="P14" s="146"/>
      <c r="Q14" s="144"/>
      <c r="R14" s="144"/>
      <c r="S14" s="53"/>
      <c r="T14" s="144"/>
      <c r="U14" s="3"/>
      <c r="V14" s="3"/>
      <c r="W14" s="3"/>
      <c r="X14" s="5"/>
      <c r="Y14" s="326"/>
      <c r="Z14" s="1"/>
      <c r="AA14" s="1"/>
    </row>
    <row r="15" spans="1:27" ht="14.25">
      <c r="A15" s="152">
        <v>4</v>
      </c>
      <c r="B15" s="152"/>
      <c r="C15" s="434" t="s">
        <v>123</v>
      </c>
      <c r="D15" s="434"/>
      <c r="E15" s="144"/>
      <c r="F15" s="144"/>
      <c r="G15" s="132">
        <v>0</v>
      </c>
      <c r="H15" s="144"/>
      <c r="I15" s="144"/>
      <c r="J15" s="144"/>
      <c r="K15" s="144"/>
      <c r="L15" s="144"/>
      <c r="M15" s="132">
        <v>0</v>
      </c>
      <c r="N15" s="144"/>
      <c r="O15" s="144"/>
      <c r="P15" s="146"/>
      <c r="Q15" s="144"/>
      <c r="R15" s="144"/>
      <c r="S15" s="132">
        <v>0</v>
      </c>
      <c r="T15" s="144"/>
      <c r="U15" s="3"/>
      <c r="V15" s="3"/>
      <c r="W15" s="3"/>
      <c r="X15" s="5"/>
      <c r="Y15" s="326"/>
      <c r="Z15" s="1"/>
      <c r="AA15" s="1"/>
    </row>
    <row r="16" spans="1:27" ht="9.75" customHeight="1">
      <c r="A16" s="152"/>
      <c r="B16" s="152"/>
      <c r="C16" s="144"/>
      <c r="D16" s="144"/>
      <c r="E16" s="144"/>
      <c r="F16" s="144"/>
      <c r="G16" s="144"/>
      <c r="H16" s="144"/>
      <c r="I16" s="144"/>
      <c r="J16" s="144"/>
      <c r="K16" s="144"/>
      <c r="L16" s="144"/>
      <c r="M16" s="144"/>
      <c r="N16" s="144"/>
      <c r="O16" s="144"/>
      <c r="P16" s="146"/>
      <c r="Q16" s="144"/>
      <c r="R16" s="144"/>
      <c r="S16" s="144"/>
      <c r="T16" s="144"/>
      <c r="U16" s="3"/>
      <c r="V16" s="3"/>
      <c r="W16" s="3"/>
      <c r="X16" s="5"/>
      <c r="Y16" s="326"/>
      <c r="Z16" s="1"/>
      <c r="AA16" s="1"/>
    </row>
    <row r="17" spans="1:27" ht="14.25">
      <c r="A17" s="152">
        <v>5</v>
      </c>
      <c r="B17" s="152"/>
      <c r="C17" s="434" t="s">
        <v>124</v>
      </c>
      <c r="D17" s="434"/>
      <c r="E17" s="144"/>
      <c r="F17" s="144"/>
      <c r="G17" s="132">
        <v>0</v>
      </c>
      <c r="H17" s="144"/>
      <c r="I17" s="144"/>
      <c r="J17" s="144"/>
      <c r="K17" s="144"/>
      <c r="L17" s="144"/>
      <c r="M17" s="132">
        <v>0</v>
      </c>
      <c r="N17" s="144"/>
      <c r="O17" s="144"/>
      <c r="P17" s="146"/>
      <c r="Q17" s="144"/>
      <c r="R17" s="144"/>
      <c r="S17" s="132">
        <v>0</v>
      </c>
      <c r="T17" s="144"/>
      <c r="U17" s="3"/>
      <c r="V17" s="3"/>
      <c r="W17" s="3"/>
      <c r="X17" s="5"/>
      <c r="Y17" s="326"/>
      <c r="Z17" s="1"/>
      <c r="AA17" s="1"/>
    </row>
    <row r="18" spans="1:27" ht="9.75" customHeight="1">
      <c r="A18" s="152"/>
      <c r="B18" s="152"/>
      <c r="C18" s="144"/>
      <c r="D18" s="144"/>
      <c r="E18" s="144"/>
      <c r="F18" s="144"/>
      <c r="G18" s="144"/>
      <c r="H18" s="144"/>
      <c r="I18" s="144"/>
      <c r="J18" s="144"/>
      <c r="K18" s="144"/>
      <c r="L18" s="144"/>
      <c r="M18" s="144"/>
      <c r="N18" s="144"/>
      <c r="O18" s="144"/>
      <c r="P18" s="146"/>
      <c r="Q18" s="144"/>
      <c r="R18" s="144"/>
      <c r="S18" s="144"/>
      <c r="T18" s="144"/>
      <c r="U18" s="3"/>
      <c r="V18" s="3"/>
      <c r="W18" s="3"/>
      <c r="X18" s="5"/>
      <c r="Y18" s="375"/>
      <c r="Z18" s="1"/>
      <c r="AA18" s="1"/>
    </row>
    <row r="19" spans="1:27" ht="14.25">
      <c r="A19" s="152">
        <v>6</v>
      </c>
      <c r="B19" s="152"/>
      <c r="C19" s="434" t="s">
        <v>125</v>
      </c>
      <c r="D19" s="434"/>
      <c r="E19" s="144"/>
      <c r="F19" s="144"/>
      <c r="G19" s="132">
        <v>0</v>
      </c>
      <c r="H19" s="144"/>
      <c r="I19" s="144"/>
      <c r="J19" s="144"/>
      <c r="K19" s="144"/>
      <c r="L19" s="144"/>
      <c r="M19" s="132">
        <v>0</v>
      </c>
      <c r="N19" s="144"/>
      <c r="O19" s="144"/>
      <c r="P19" s="146"/>
      <c r="Q19" s="144"/>
      <c r="R19" s="144"/>
      <c r="S19" s="132">
        <v>0</v>
      </c>
      <c r="T19" s="144"/>
      <c r="U19" s="3"/>
      <c r="V19" s="3"/>
      <c r="W19" s="3"/>
      <c r="X19" s="5"/>
      <c r="Y19" s="375"/>
      <c r="Z19" s="1"/>
      <c r="AA19" s="1"/>
    </row>
    <row r="20" spans="1:27" ht="9.75" customHeight="1">
      <c r="A20" s="152"/>
      <c r="B20" s="152"/>
      <c r="C20" s="144"/>
      <c r="D20" s="144"/>
      <c r="E20" s="144"/>
      <c r="F20" s="144"/>
      <c r="G20" s="144"/>
      <c r="H20" s="144"/>
      <c r="I20" s="144"/>
      <c r="J20" s="144"/>
      <c r="K20" s="144"/>
      <c r="L20" s="144"/>
      <c r="M20" s="144"/>
      <c r="N20" s="144"/>
      <c r="O20" s="144"/>
      <c r="P20" s="146"/>
      <c r="Q20" s="144"/>
      <c r="R20" s="144"/>
      <c r="S20" s="144"/>
      <c r="T20" s="144"/>
      <c r="U20" s="3"/>
      <c r="V20" s="3"/>
      <c r="W20" s="3"/>
      <c r="X20" s="5"/>
      <c r="Y20" s="3"/>
      <c r="Z20" s="1"/>
      <c r="AA20" s="1"/>
    </row>
    <row r="21" spans="1:27" ht="14.25">
      <c r="A21" s="152">
        <v>7</v>
      </c>
      <c r="B21" s="152"/>
      <c r="C21" s="434" t="s">
        <v>126</v>
      </c>
      <c r="D21" s="434"/>
      <c r="E21" s="144"/>
      <c r="F21" s="144"/>
      <c r="G21" s="178">
        <v>0</v>
      </c>
      <c r="H21" s="144" t="s">
        <v>119</v>
      </c>
      <c r="I21" s="144"/>
      <c r="J21" s="144"/>
      <c r="K21" s="144"/>
      <c r="L21" s="144"/>
      <c r="M21" s="178">
        <v>0</v>
      </c>
      <c r="N21" s="144" t="s">
        <v>119</v>
      </c>
      <c r="O21" s="144"/>
      <c r="P21" s="146"/>
      <c r="Q21" s="144"/>
      <c r="R21" s="144"/>
      <c r="S21" s="178">
        <v>0</v>
      </c>
      <c r="T21" s="144" t="s">
        <v>119</v>
      </c>
      <c r="U21" s="3"/>
      <c r="V21" s="3"/>
      <c r="W21" s="3"/>
      <c r="X21" s="5"/>
      <c r="Y21" s="3"/>
      <c r="Z21" s="1"/>
      <c r="AA21" s="1"/>
    </row>
    <row r="22" spans="1:27" ht="9.75" customHeight="1">
      <c r="A22" s="152"/>
      <c r="B22" s="152"/>
      <c r="C22" s="162"/>
      <c r="D22" s="144"/>
      <c r="E22" s="144"/>
      <c r="F22" s="144"/>
      <c r="G22" s="144"/>
      <c r="H22" s="144"/>
      <c r="I22" s="144"/>
      <c r="J22" s="144"/>
      <c r="K22" s="144"/>
      <c r="L22" s="144"/>
      <c r="M22" s="144"/>
      <c r="N22" s="144"/>
      <c r="O22" s="144"/>
      <c r="P22" s="146"/>
      <c r="Q22" s="144"/>
      <c r="R22" s="144"/>
      <c r="S22" s="144"/>
      <c r="T22" s="144"/>
      <c r="U22" s="3"/>
      <c r="V22" s="3"/>
      <c r="W22" s="3"/>
      <c r="X22" s="5"/>
      <c r="Y22" s="3"/>
      <c r="Z22" s="1"/>
      <c r="AA22" s="1"/>
    </row>
    <row r="23" spans="1:27" ht="14.25">
      <c r="A23" s="152">
        <v>8</v>
      </c>
      <c r="B23" s="152"/>
      <c r="C23" s="434" t="s">
        <v>127</v>
      </c>
      <c r="D23" s="434"/>
      <c r="E23" s="144"/>
      <c r="F23" s="144"/>
      <c r="G23" s="178">
        <v>0</v>
      </c>
      <c r="H23" s="144" t="s">
        <v>119</v>
      </c>
      <c r="I23" s="144"/>
      <c r="J23" s="144"/>
      <c r="K23" s="144"/>
      <c r="L23" s="144"/>
      <c r="M23" s="178">
        <v>0</v>
      </c>
      <c r="N23" s="144" t="s">
        <v>119</v>
      </c>
      <c r="O23" s="144"/>
      <c r="P23" s="146"/>
      <c r="Q23" s="144"/>
      <c r="R23" s="144"/>
      <c r="S23" s="178">
        <v>0</v>
      </c>
      <c r="T23" s="144" t="s">
        <v>119</v>
      </c>
      <c r="U23" s="3"/>
      <c r="V23" s="3"/>
      <c r="W23" s="3"/>
      <c r="X23" s="5"/>
      <c r="Y23" s="3"/>
      <c r="Z23" s="1"/>
      <c r="AA23" s="1"/>
    </row>
    <row r="24" spans="1:27" ht="9.75" customHeight="1">
      <c r="A24" s="152"/>
      <c r="B24" s="152"/>
      <c r="C24" s="162"/>
      <c r="D24" s="144"/>
      <c r="E24" s="144"/>
      <c r="F24" s="144"/>
      <c r="G24" s="144"/>
      <c r="H24" s="144"/>
      <c r="I24" s="144"/>
      <c r="J24" s="144"/>
      <c r="K24" s="144"/>
      <c r="L24" s="144"/>
      <c r="M24" s="144"/>
      <c r="N24" s="144"/>
      <c r="O24" s="144"/>
      <c r="P24" s="146"/>
      <c r="Q24" s="144"/>
      <c r="R24" s="144"/>
      <c r="S24" s="144"/>
      <c r="T24" s="144"/>
      <c r="U24" s="3"/>
      <c r="V24" s="3"/>
      <c r="W24" s="3"/>
      <c r="X24" s="5"/>
      <c r="Y24" s="3"/>
      <c r="Z24" s="1"/>
      <c r="AA24" s="1"/>
    </row>
    <row r="25" spans="1:27" ht="18" customHeight="1">
      <c r="A25" s="152">
        <v>9</v>
      </c>
      <c r="B25" s="152"/>
      <c r="C25" s="434" t="s">
        <v>129</v>
      </c>
      <c r="D25" s="434"/>
      <c r="E25" s="144"/>
      <c r="F25" s="144"/>
      <c r="G25" s="144"/>
      <c r="H25" s="386" t="b">
        <v>0</v>
      </c>
      <c r="I25" s="144"/>
      <c r="J25" s="144"/>
      <c r="K25" s="144"/>
      <c r="L25" s="144"/>
      <c r="M25" s="144"/>
      <c r="N25" s="357" t="b">
        <v>0</v>
      </c>
      <c r="O25" s="144"/>
      <c r="P25" s="146"/>
      <c r="Q25" s="144"/>
      <c r="R25" s="144"/>
      <c r="S25" s="144"/>
      <c r="T25" s="357" t="b">
        <v>0</v>
      </c>
      <c r="U25" s="3"/>
      <c r="V25" s="3"/>
      <c r="W25" s="3"/>
      <c r="X25" s="5"/>
      <c r="Y25" s="3"/>
      <c r="Z25" s="1"/>
      <c r="AA25" s="1"/>
    </row>
    <row r="26" spans="1:27" ht="9.75" customHeight="1">
      <c r="A26" s="152"/>
      <c r="B26" s="152"/>
      <c r="C26" s="162" t="s">
        <v>130</v>
      </c>
      <c r="D26" s="160"/>
      <c r="E26" s="144"/>
      <c r="F26" s="144"/>
      <c r="G26" s="144"/>
      <c r="H26" s="159"/>
      <c r="I26" s="144"/>
      <c r="J26" s="144"/>
      <c r="K26" s="144"/>
      <c r="L26" s="144"/>
      <c r="M26" s="144"/>
      <c r="N26" s="159"/>
      <c r="O26" s="144"/>
      <c r="P26" s="146"/>
      <c r="Q26" s="144"/>
      <c r="R26" s="144"/>
      <c r="S26" s="144"/>
      <c r="T26" s="159"/>
      <c r="U26" s="3"/>
      <c r="V26" s="3"/>
      <c r="W26" s="3"/>
      <c r="X26" s="5"/>
      <c r="Y26" s="3"/>
      <c r="Z26" s="1"/>
      <c r="AA26" s="1"/>
    </row>
    <row r="27" spans="1:27" ht="6" customHeight="1">
      <c r="A27" s="144"/>
      <c r="B27" s="144"/>
      <c r="C27" s="144"/>
      <c r="D27" s="144"/>
      <c r="E27" s="144"/>
      <c r="F27" s="144"/>
      <c r="G27" s="144"/>
      <c r="H27" s="144"/>
      <c r="I27" s="144"/>
      <c r="J27" s="144"/>
      <c r="K27" s="144"/>
      <c r="L27" s="144"/>
      <c r="M27" s="144"/>
      <c r="N27" s="144"/>
      <c r="O27" s="144"/>
      <c r="P27" s="146"/>
      <c r="Q27" s="144"/>
      <c r="R27" s="144"/>
      <c r="S27" s="144"/>
      <c r="T27" s="144"/>
      <c r="U27" s="3"/>
      <c r="V27" s="3"/>
      <c r="W27" s="3"/>
      <c r="X27" s="5"/>
      <c r="Y27" s="3"/>
      <c r="Z27" s="1"/>
      <c r="AA27" s="1"/>
    </row>
    <row r="28" spans="1:27" ht="14.25" customHeight="1">
      <c r="A28" s="152">
        <v>10</v>
      </c>
      <c r="B28" s="144"/>
      <c r="C28" s="434" t="s">
        <v>464</v>
      </c>
      <c r="D28" s="434"/>
      <c r="E28" s="144"/>
      <c r="F28" s="144"/>
      <c r="G28" s="144"/>
      <c r="H28" s="386" t="b">
        <v>0</v>
      </c>
      <c r="I28" s="144"/>
      <c r="J28" s="144"/>
      <c r="K28" s="144"/>
      <c r="L28" s="144"/>
      <c r="M28" s="144"/>
      <c r="N28" s="386" t="b">
        <v>0</v>
      </c>
      <c r="O28" s="144"/>
      <c r="P28" s="146"/>
      <c r="Q28" s="144"/>
      <c r="R28" s="144"/>
      <c r="S28" s="144"/>
      <c r="T28" s="386" t="b">
        <v>0</v>
      </c>
      <c r="U28" s="3"/>
      <c r="V28" s="3"/>
      <c r="W28" s="3"/>
      <c r="X28" s="5"/>
      <c r="Y28" s="3"/>
      <c r="Z28" s="1"/>
      <c r="AA28" s="1"/>
    </row>
    <row r="29" spans="1:27" ht="9.75" customHeight="1">
      <c r="A29" s="144"/>
      <c r="B29" s="144"/>
      <c r="C29" s="144"/>
      <c r="D29" s="144"/>
      <c r="E29" s="144"/>
      <c r="F29" s="144"/>
      <c r="G29" s="144"/>
      <c r="H29" s="144"/>
      <c r="I29" s="144"/>
      <c r="J29" s="144"/>
      <c r="K29" s="144"/>
      <c r="L29" s="144"/>
      <c r="M29" s="144"/>
      <c r="N29" s="144"/>
      <c r="O29" s="144"/>
      <c r="P29" s="146"/>
      <c r="Q29" s="144"/>
      <c r="R29" s="144"/>
      <c r="S29" s="144"/>
      <c r="T29" s="144"/>
      <c r="U29" s="3"/>
      <c r="V29" s="3"/>
      <c r="W29" s="3"/>
      <c r="X29" s="5"/>
      <c r="Y29" s="3"/>
      <c r="Z29" s="1"/>
      <c r="AA29" s="1"/>
    </row>
    <row r="30" spans="1:27" ht="14.25" customHeight="1">
      <c r="A30" s="152">
        <v>11</v>
      </c>
      <c r="B30" s="144"/>
      <c r="C30" s="434" t="s">
        <v>535</v>
      </c>
      <c r="D30" s="434"/>
      <c r="E30" s="144"/>
      <c r="F30" s="144"/>
      <c r="G30" s="144"/>
      <c r="H30" s="386" t="b">
        <v>0</v>
      </c>
      <c r="I30" s="144"/>
      <c r="J30" s="144"/>
      <c r="K30" s="144"/>
      <c r="L30" s="144"/>
      <c r="M30" s="144"/>
      <c r="N30" s="386" t="b">
        <v>0</v>
      </c>
      <c r="O30" s="144"/>
      <c r="P30" s="146"/>
      <c r="Q30" s="144"/>
      <c r="R30" s="144"/>
      <c r="S30" s="144"/>
      <c r="T30" s="386" t="b">
        <v>0</v>
      </c>
      <c r="U30" s="3"/>
      <c r="V30" s="3"/>
      <c r="W30" s="3"/>
      <c r="X30" s="5"/>
      <c r="Y30" s="3"/>
      <c r="Z30" s="1"/>
      <c r="AA30" s="1"/>
    </row>
    <row r="31" spans="1:27" ht="9.75" customHeight="1">
      <c r="A31" s="144"/>
      <c r="B31" s="144"/>
      <c r="C31" s="144"/>
      <c r="D31" s="144"/>
      <c r="E31" s="144"/>
      <c r="F31" s="144"/>
      <c r="G31" s="144"/>
      <c r="H31" s="144"/>
      <c r="I31" s="144"/>
      <c r="J31" s="144"/>
      <c r="K31" s="144"/>
      <c r="L31" s="144"/>
      <c r="M31" s="144"/>
      <c r="N31" s="144"/>
      <c r="O31" s="144"/>
      <c r="P31" s="146"/>
      <c r="Q31" s="144"/>
      <c r="R31" s="144"/>
      <c r="S31" s="144"/>
      <c r="T31" s="144"/>
      <c r="U31" s="3"/>
      <c r="V31" s="3"/>
      <c r="W31" s="3"/>
      <c r="X31" s="5"/>
      <c r="Y31" s="3"/>
      <c r="Z31" s="1"/>
      <c r="AA31" s="1"/>
    </row>
    <row r="32" spans="1:27" ht="19.5" customHeight="1">
      <c r="A32" s="144"/>
      <c r="B32" s="144"/>
      <c r="C32" s="162"/>
      <c r="D32" s="144"/>
      <c r="E32" s="144"/>
      <c r="F32" s="144"/>
      <c r="G32" s="144"/>
      <c r="H32" s="144"/>
      <c r="I32" s="144"/>
      <c r="J32" s="144"/>
      <c r="K32" s="144"/>
      <c r="L32" s="144"/>
      <c r="M32" s="144"/>
      <c r="N32" s="144"/>
      <c r="O32" s="144"/>
      <c r="P32" s="146"/>
      <c r="Q32" s="144"/>
      <c r="R32" s="144"/>
      <c r="S32" s="144"/>
      <c r="T32" s="144"/>
      <c r="U32" s="3"/>
      <c r="V32" s="3"/>
      <c r="W32" s="3"/>
      <c r="X32" s="5"/>
      <c r="Y32" s="365"/>
      <c r="Z32" s="1"/>
      <c r="AA32" s="1"/>
    </row>
    <row r="33" spans="1:27" ht="12.75" customHeight="1">
      <c r="A33" s="144"/>
      <c r="B33" s="144"/>
      <c r="C33" s="432" t="s">
        <v>278</v>
      </c>
      <c r="D33" s="432"/>
      <c r="E33" s="144"/>
      <c r="F33" s="144"/>
      <c r="G33" s="163">
        <f>Calc_iso!C41</f>
        <v>0</v>
      </c>
      <c r="H33" s="144" t="s">
        <v>119</v>
      </c>
      <c r="I33" s="144"/>
      <c r="J33" s="144"/>
      <c r="K33" s="144"/>
      <c r="L33" s="144"/>
      <c r="M33" s="163">
        <f>Calc_iso!C90</f>
        <v>0</v>
      </c>
      <c r="N33" s="144" t="s">
        <v>119</v>
      </c>
      <c r="O33" s="144"/>
      <c r="P33" s="146"/>
      <c r="Q33" s="144"/>
      <c r="R33" s="144"/>
      <c r="S33" s="163">
        <f>Calc_iso!C132</f>
        <v>0</v>
      </c>
      <c r="T33" s="144" t="s">
        <v>119</v>
      </c>
      <c r="U33" s="3"/>
      <c r="V33" s="3"/>
      <c r="W33" s="3"/>
      <c r="X33" s="438" t="s">
        <v>128</v>
      </c>
      <c r="Y33" s="3"/>
      <c r="Z33" s="1"/>
      <c r="AA33" s="1"/>
    </row>
    <row r="34" spans="1:27" ht="9.75" customHeight="1">
      <c r="A34" s="144"/>
      <c r="B34" s="144"/>
      <c r="C34" s="156"/>
      <c r="D34" s="159"/>
      <c r="E34" s="144"/>
      <c r="F34" s="144"/>
      <c r="G34" s="144"/>
      <c r="H34" s="144"/>
      <c r="I34" s="144"/>
      <c r="J34" s="144"/>
      <c r="K34" s="144"/>
      <c r="L34" s="144"/>
      <c r="M34" s="144"/>
      <c r="N34" s="144"/>
      <c r="O34" s="144"/>
      <c r="P34" s="146"/>
      <c r="Q34" s="144"/>
      <c r="R34" s="144"/>
      <c r="S34" s="144"/>
      <c r="T34" s="144"/>
      <c r="U34" s="3"/>
      <c r="V34" s="3"/>
      <c r="W34" s="3"/>
      <c r="X34" s="438"/>
      <c r="Y34" s="3"/>
      <c r="Z34" s="1"/>
      <c r="AA34" s="1"/>
    </row>
    <row r="35" spans="1:27" ht="12.75" customHeight="1">
      <c r="A35" s="144"/>
      <c r="B35" s="144"/>
      <c r="C35" s="432" t="s">
        <v>279</v>
      </c>
      <c r="D35" s="432"/>
      <c r="E35" s="144"/>
      <c r="F35" s="144"/>
      <c r="G35" s="163">
        <f>Calc_iso!C42</f>
        <v>0</v>
      </c>
      <c r="H35" s="144" t="s">
        <v>119</v>
      </c>
      <c r="I35" s="144"/>
      <c r="J35" s="144"/>
      <c r="K35" s="144"/>
      <c r="L35" s="144"/>
      <c r="M35" s="163">
        <f>Calc_iso!C91</f>
        <v>0</v>
      </c>
      <c r="N35" s="144" t="s">
        <v>119</v>
      </c>
      <c r="O35" s="144"/>
      <c r="P35" s="146"/>
      <c r="Q35" s="144"/>
      <c r="R35" s="144"/>
      <c r="S35" s="163">
        <f>Calc_iso!C133</f>
        <v>0</v>
      </c>
      <c r="T35" s="144" t="s">
        <v>119</v>
      </c>
      <c r="U35" s="3"/>
      <c r="V35" s="3"/>
      <c r="W35" s="3"/>
      <c r="X35" s="420" t="s">
        <v>131</v>
      </c>
      <c r="Y35" s="420"/>
      <c r="Z35" s="1"/>
      <c r="AA35" s="1"/>
    </row>
    <row r="36" spans="1:27" ht="9.75" customHeight="1">
      <c r="A36" s="144"/>
      <c r="B36" s="144"/>
      <c r="C36" s="156"/>
      <c r="D36" s="159"/>
      <c r="E36" s="144"/>
      <c r="F36" s="144"/>
      <c r="G36" s="144"/>
      <c r="H36" s="144"/>
      <c r="I36" s="144"/>
      <c r="J36" s="144"/>
      <c r="K36" s="144"/>
      <c r="L36" s="144"/>
      <c r="M36" s="144"/>
      <c r="N36" s="144"/>
      <c r="O36" s="144"/>
      <c r="P36" s="146"/>
      <c r="Q36" s="144"/>
      <c r="R36" s="144"/>
      <c r="S36" s="144"/>
      <c r="T36" s="144"/>
      <c r="U36" s="3"/>
      <c r="V36" s="3"/>
      <c r="W36" s="3"/>
      <c r="X36" s="420"/>
      <c r="Y36" s="420"/>
      <c r="Z36" s="1"/>
      <c r="AA36" s="1"/>
    </row>
    <row r="37" spans="1:27" ht="12.75" customHeight="1">
      <c r="A37" s="144"/>
      <c r="B37" s="144"/>
      <c r="C37" s="432" t="s">
        <v>280</v>
      </c>
      <c r="D37" s="432"/>
      <c r="E37" s="144"/>
      <c r="F37" s="144"/>
      <c r="G37" s="163">
        <f>Calc_iso!C43</f>
        <v>0</v>
      </c>
      <c r="H37" s="144" t="s">
        <v>119</v>
      </c>
      <c r="I37" s="144"/>
      <c r="J37" s="144"/>
      <c r="K37" s="144"/>
      <c r="L37" s="144"/>
      <c r="M37" s="163">
        <f>Calc_iso!C92</f>
        <v>0</v>
      </c>
      <c r="N37" s="144" t="s">
        <v>119</v>
      </c>
      <c r="O37" s="144"/>
      <c r="P37" s="146"/>
      <c r="Q37" s="144"/>
      <c r="R37" s="144"/>
      <c r="S37" s="163">
        <f>Calc_iso!C134</f>
        <v>0</v>
      </c>
      <c r="T37" s="144" t="s">
        <v>119</v>
      </c>
      <c r="U37" s="3"/>
      <c r="V37" s="3"/>
      <c r="W37" s="3"/>
      <c r="X37" s="420"/>
      <c r="Y37" s="420"/>
      <c r="Z37" s="1"/>
      <c r="AA37" s="1"/>
    </row>
    <row r="38" spans="1:27" ht="9.75" customHeight="1">
      <c r="A38" s="144"/>
      <c r="B38" s="144"/>
      <c r="C38" s="162"/>
      <c r="D38" s="144"/>
      <c r="E38" s="144"/>
      <c r="F38" s="144"/>
      <c r="G38" s="144"/>
      <c r="H38" s="144"/>
      <c r="I38" s="144"/>
      <c r="J38" s="144"/>
      <c r="K38" s="144"/>
      <c r="L38" s="144"/>
      <c r="M38" s="144"/>
      <c r="N38" s="144"/>
      <c r="O38" s="144"/>
      <c r="P38" s="146"/>
      <c r="Q38" s="144"/>
      <c r="R38" s="144"/>
      <c r="S38" s="144"/>
      <c r="T38" s="144"/>
      <c r="U38" s="3"/>
      <c r="V38" s="3"/>
      <c r="W38" s="3"/>
      <c r="X38" s="413" t="s">
        <v>133</v>
      </c>
      <c r="Y38" s="413"/>
      <c r="Z38" s="1"/>
      <c r="AA38" s="1"/>
    </row>
    <row r="39" spans="1:27" ht="12.75">
      <c r="A39" s="144"/>
      <c r="B39" s="144"/>
      <c r="C39" s="432" t="s">
        <v>132</v>
      </c>
      <c r="D39" s="432"/>
      <c r="E39" s="144"/>
      <c r="F39" s="144"/>
      <c r="G39" s="164">
        <f>Calc_iso!$F$41</f>
        <v>0</v>
      </c>
      <c r="H39" s="144" t="s">
        <v>80</v>
      </c>
      <c r="I39" s="144"/>
      <c r="J39" s="144"/>
      <c r="K39" s="144"/>
      <c r="L39" s="144"/>
      <c r="M39" s="164">
        <f>Calc_iso!$F$90</f>
        <v>0</v>
      </c>
      <c r="N39" s="144" t="s">
        <v>80</v>
      </c>
      <c r="O39" s="144"/>
      <c r="P39" s="146"/>
      <c r="Q39" s="144"/>
      <c r="R39" s="144"/>
      <c r="S39" s="164">
        <f>Calc_iso!$F$132</f>
        <v>0</v>
      </c>
      <c r="T39" s="144" t="s">
        <v>80</v>
      </c>
      <c r="U39" s="3"/>
      <c r="V39" s="3"/>
      <c r="W39" s="3"/>
      <c r="X39" s="413"/>
      <c r="Y39" s="413"/>
      <c r="Z39" s="1"/>
      <c r="AA39" s="1"/>
    </row>
    <row r="40" spans="1:27" ht="9.75" customHeight="1">
      <c r="A40" s="144"/>
      <c r="B40" s="144"/>
      <c r="C40" s="156"/>
      <c r="D40" s="159"/>
      <c r="E40" s="144"/>
      <c r="F40" s="144"/>
      <c r="G40" s="165"/>
      <c r="H40" s="144"/>
      <c r="I40" s="144"/>
      <c r="J40" s="144"/>
      <c r="K40" s="144"/>
      <c r="L40" s="144"/>
      <c r="M40" s="165"/>
      <c r="N40" s="144"/>
      <c r="O40" s="144"/>
      <c r="P40" s="146"/>
      <c r="Q40" s="144"/>
      <c r="R40" s="144"/>
      <c r="S40" s="165"/>
      <c r="T40" s="144"/>
      <c r="U40" s="3"/>
      <c r="V40" s="3"/>
      <c r="W40" s="3"/>
      <c r="X40" s="413"/>
      <c r="Y40" s="413"/>
      <c r="Z40" s="1"/>
      <c r="AA40" s="1"/>
    </row>
    <row r="41" spans="1:27" ht="12.75" customHeight="1">
      <c r="A41" s="144"/>
      <c r="B41" s="144"/>
      <c r="C41" s="432" t="s">
        <v>134</v>
      </c>
      <c r="D41" s="432"/>
      <c r="E41" s="144"/>
      <c r="F41" s="144"/>
      <c r="G41" s="166">
        <f>Calc_iso!$F$42</f>
        <v>0</v>
      </c>
      <c r="H41" s="144" t="s">
        <v>80</v>
      </c>
      <c r="I41" s="159"/>
      <c r="J41" s="144"/>
      <c r="K41" s="144"/>
      <c r="L41" s="144"/>
      <c r="M41" s="166">
        <f>Calc_iso!$F$91</f>
        <v>0</v>
      </c>
      <c r="N41" s="144" t="s">
        <v>80</v>
      </c>
      <c r="O41" s="159"/>
      <c r="P41" s="146"/>
      <c r="Q41" s="144"/>
      <c r="R41" s="144"/>
      <c r="S41" s="166">
        <f>Calc_iso!$F$133</f>
        <v>0</v>
      </c>
      <c r="T41" s="144" t="s">
        <v>80</v>
      </c>
      <c r="U41" s="3"/>
      <c r="V41" s="3"/>
      <c r="W41" s="3"/>
      <c r="X41" s="413"/>
      <c r="Y41" s="413"/>
      <c r="Z41" s="1"/>
      <c r="AA41" s="1"/>
    </row>
    <row r="42" spans="1:27" ht="9.75" customHeight="1">
      <c r="A42" s="144"/>
      <c r="B42" s="144"/>
      <c r="C42" s="156"/>
      <c r="D42" s="159"/>
      <c r="E42" s="144"/>
      <c r="F42" s="144"/>
      <c r="G42" s="165"/>
      <c r="H42" s="144"/>
      <c r="I42" s="144"/>
      <c r="J42" s="144"/>
      <c r="K42" s="144"/>
      <c r="L42" s="144"/>
      <c r="M42" s="165"/>
      <c r="N42" s="144"/>
      <c r="O42" s="144"/>
      <c r="P42" s="146"/>
      <c r="Q42" s="144"/>
      <c r="R42" s="144"/>
      <c r="S42" s="165"/>
      <c r="T42" s="144"/>
      <c r="U42" s="3"/>
      <c r="V42" s="3"/>
      <c r="W42" s="3"/>
      <c r="X42" s="413"/>
      <c r="Y42" s="413"/>
      <c r="Z42" s="1"/>
      <c r="AA42" s="1"/>
    </row>
    <row r="43" spans="1:27" ht="12.75" customHeight="1">
      <c r="A43" s="144"/>
      <c r="B43" s="144"/>
      <c r="C43" s="432" t="s">
        <v>135</v>
      </c>
      <c r="D43" s="432"/>
      <c r="E43" s="144"/>
      <c r="F43" s="144"/>
      <c r="G43" s="167">
        <f>Calc_iso!$F$43</f>
        <v>0</v>
      </c>
      <c r="H43" s="144" t="s">
        <v>80</v>
      </c>
      <c r="I43" s="144"/>
      <c r="J43" s="144"/>
      <c r="K43" s="144"/>
      <c r="L43" s="144"/>
      <c r="M43" s="167">
        <f>Calc_iso!$F$92</f>
        <v>0</v>
      </c>
      <c r="N43" s="144" t="s">
        <v>80</v>
      </c>
      <c r="O43" s="144"/>
      <c r="P43" s="146"/>
      <c r="Q43" s="144"/>
      <c r="R43" s="144"/>
      <c r="S43" s="167">
        <f>Calc_iso!$F$134</f>
        <v>0</v>
      </c>
      <c r="T43" s="144" t="s">
        <v>80</v>
      </c>
      <c r="U43" s="3"/>
      <c r="V43" s="3"/>
      <c r="W43" s="3"/>
      <c r="X43" s="413" t="s">
        <v>136</v>
      </c>
      <c r="Y43" s="413"/>
      <c r="Z43" s="1"/>
      <c r="AA43" s="1"/>
    </row>
    <row r="44" spans="1:27" ht="9.75" customHeight="1">
      <c r="A44" s="144"/>
      <c r="B44" s="144"/>
      <c r="C44" s="162"/>
      <c r="D44" s="144"/>
      <c r="E44" s="144"/>
      <c r="F44" s="144"/>
      <c r="G44" s="144"/>
      <c r="H44" s="144"/>
      <c r="I44" s="144"/>
      <c r="J44" s="144"/>
      <c r="K44" s="144"/>
      <c r="L44" s="144"/>
      <c r="M44" s="144"/>
      <c r="N44" s="144"/>
      <c r="O44" s="144"/>
      <c r="P44" s="146"/>
      <c r="Q44" s="144"/>
      <c r="R44" s="144"/>
      <c r="S44" s="144"/>
      <c r="T44" s="144"/>
      <c r="U44" s="3"/>
      <c r="V44" s="3"/>
      <c r="W44" s="3"/>
      <c r="X44" s="413"/>
      <c r="Y44" s="413"/>
      <c r="Z44" s="1"/>
      <c r="AA44" s="1"/>
    </row>
    <row r="45" spans="1:27" ht="12.75" customHeight="1">
      <c r="A45" s="144"/>
      <c r="B45" s="144"/>
      <c r="C45" s="162"/>
      <c r="D45" s="144"/>
      <c r="E45" s="144"/>
      <c r="F45" s="144"/>
      <c r="G45" s="144"/>
      <c r="H45" s="144"/>
      <c r="I45" s="144"/>
      <c r="J45" s="144"/>
      <c r="K45" s="144"/>
      <c r="L45" s="144"/>
      <c r="M45" s="144"/>
      <c r="N45" s="144"/>
      <c r="O45" s="144"/>
      <c r="P45" s="146"/>
      <c r="Q45" s="144"/>
      <c r="R45" s="144"/>
      <c r="S45" s="144"/>
      <c r="T45" s="144"/>
      <c r="U45" s="3"/>
      <c r="V45" s="3"/>
      <c r="W45" s="3"/>
      <c r="X45" s="413"/>
      <c r="Y45" s="413"/>
      <c r="Z45" s="1"/>
      <c r="AA45" s="1"/>
    </row>
    <row r="46" spans="1:27" ht="15" customHeight="1">
      <c r="A46" s="144"/>
      <c r="B46" s="144"/>
      <c r="C46" s="433" t="s">
        <v>128</v>
      </c>
      <c r="D46" s="433"/>
      <c r="E46" s="144"/>
      <c r="F46" s="144"/>
      <c r="G46" s="155" t="s">
        <v>137</v>
      </c>
      <c r="H46" s="409">
        <f>Calc_iso!F68</f>
        <v>0</v>
      </c>
      <c r="I46" s="410"/>
      <c r="J46" s="410"/>
      <c r="K46" s="411"/>
      <c r="L46" s="144" t="s">
        <v>89</v>
      </c>
      <c r="M46" s="155" t="s">
        <v>138</v>
      </c>
      <c r="N46" s="409">
        <f>Calc_iso!I68</f>
        <v>0</v>
      </c>
      <c r="O46" s="410"/>
      <c r="P46" s="410"/>
      <c r="Q46" s="411"/>
      <c r="R46" s="168" t="s">
        <v>522</v>
      </c>
      <c r="S46" s="169"/>
      <c r="T46" s="169"/>
      <c r="U46" s="3"/>
      <c r="V46" s="3"/>
      <c r="W46" s="3"/>
      <c r="X46" s="413"/>
      <c r="Y46" s="413"/>
      <c r="Z46" s="1"/>
      <c r="AA46" s="1"/>
    </row>
    <row r="47" spans="1:27" ht="15" customHeight="1">
      <c r="A47" s="144"/>
      <c r="B47" s="144"/>
      <c r="C47" s="156" t="s">
        <v>298</v>
      </c>
      <c r="D47" s="170"/>
      <c r="E47" s="144"/>
      <c r="F47" s="144"/>
      <c r="G47" s="155"/>
      <c r="H47" s="171"/>
      <c r="I47" s="171"/>
      <c r="J47" s="171"/>
      <c r="K47" s="171"/>
      <c r="L47" s="144"/>
      <c r="M47" s="155"/>
      <c r="N47" s="171"/>
      <c r="O47" s="171"/>
      <c r="P47" s="171"/>
      <c r="Q47" s="171"/>
      <c r="R47" s="172"/>
      <c r="S47" s="169"/>
      <c r="T47" s="169"/>
      <c r="U47" s="3"/>
      <c r="V47" s="3"/>
      <c r="W47" s="3"/>
      <c r="X47" s="5"/>
      <c r="Y47" s="3"/>
      <c r="Z47" s="1"/>
      <c r="AA47" s="1"/>
    </row>
    <row r="48" spans="1:27" ht="15" customHeight="1">
      <c r="A48" s="144"/>
      <c r="B48" s="144"/>
      <c r="C48" s="156"/>
      <c r="D48" s="170"/>
      <c r="E48" s="144"/>
      <c r="F48" s="144"/>
      <c r="G48" s="155"/>
      <c r="H48" s="409">
        <f>H46*1.196</f>
        <v>0</v>
      </c>
      <c r="I48" s="410"/>
      <c r="J48" s="410"/>
      <c r="K48" s="411"/>
      <c r="L48" s="144" t="s">
        <v>89</v>
      </c>
      <c r="M48" s="155" t="s">
        <v>138</v>
      </c>
      <c r="N48" s="409">
        <f>N46*1.196</f>
        <v>0</v>
      </c>
      <c r="O48" s="410"/>
      <c r="P48" s="410"/>
      <c r="Q48" s="411"/>
      <c r="R48" s="168" t="s">
        <v>521</v>
      </c>
      <c r="S48" s="169"/>
      <c r="T48" s="169"/>
      <c r="U48" s="3"/>
      <c r="V48" s="3"/>
      <c r="W48" s="3"/>
      <c r="X48" s="5"/>
      <c r="Y48" s="3"/>
      <c r="Z48" s="1"/>
      <c r="AA48" s="1"/>
    </row>
    <row r="49" spans="1:27" ht="15" customHeight="1">
      <c r="A49" s="144"/>
      <c r="B49" s="144"/>
      <c r="C49" s="147" t="s">
        <v>139</v>
      </c>
      <c r="D49" s="144"/>
      <c r="E49" s="144"/>
      <c r="F49" s="144"/>
      <c r="G49" s="144"/>
      <c r="H49" s="144"/>
      <c r="I49" s="144"/>
      <c r="J49" s="144"/>
      <c r="K49" s="144"/>
      <c r="L49" s="144"/>
      <c r="M49" s="144"/>
      <c r="N49" s="144"/>
      <c r="O49" s="144"/>
      <c r="P49" s="146"/>
      <c r="Q49" s="144"/>
      <c r="R49" s="144"/>
      <c r="S49" s="144"/>
      <c r="T49" s="144"/>
      <c r="U49" s="3"/>
      <c r="V49" s="3"/>
      <c r="W49" s="3"/>
      <c r="X49" s="5"/>
      <c r="Y49" s="3"/>
      <c r="Z49" s="1"/>
      <c r="AA49" s="1"/>
    </row>
    <row r="50" spans="1:27" ht="15" customHeight="1">
      <c r="A50" s="144"/>
      <c r="B50" s="144"/>
      <c r="C50" s="162"/>
      <c r="D50" s="144"/>
      <c r="E50" s="144"/>
      <c r="F50" s="144"/>
      <c r="G50" s="144"/>
      <c r="H50" s="144"/>
      <c r="I50" s="144"/>
      <c r="J50" s="144"/>
      <c r="K50" s="144"/>
      <c r="L50" s="144"/>
      <c r="M50" s="144"/>
      <c r="N50" s="144"/>
      <c r="O50" s="144"/>
      <c r="P50" s="146"/>
      <c r="Q50" s="144"/>
      <c r="R50" s="144"/>
      <c r="S50" s="144"/>
      <c r="T50" s="144"/>
      <c r="U50" s="3"/>
      <c r="V50" s="3"/>
      <c r="W50" s="3"/>
      <c r="X50" s="18" t="s">
        <v>296</v>
      </c>
      <c r="Y50" s="3"/>
      <c r="Z50" s="1"/>
      <c r="AA50" s="1"/>
    </row>
    <row r="51" spans="1:27" ht="15.75" customHeight="1">
      <c r="A51" s="144"/>
      <c r="B51" s="144"/>
      <c r="C51" s="173" t="s">
        <v>322</v>
      </c>
      <c r="D51" s="144"/>
      <c r="E51" s="144"/>
      <c r="F51" s="144"/>
      <c r="G51" s="144"/>
      <c r="H51" s="144"/>
      <c r="I51" s="144"/>
      <c r="J51" s="144"/>
      <c r="K51" s="144"/>
      <c r="L51" s="144"/>
      <c r="M51" s="148" t="s">
        <v>140</v>
      </c>
      <c r="N51" s="144"/>
      <c r="O51" s="144"/>
      <c r="P51" s="146"/>
      <c r="Q51" s="144"/>
      <c r="R51" s="144"/>
      <c r="S51" s="144"/>
      <c r="T51" s="144"/>
      <c r="U51" s="3"/>
      <c r="V51" s="3"/>
      <c r="W51" s="3"/>
      <c r="X51" s="439" t="s">
        <v>297</v>
      </c>
      <c r="Y51" s="439"/>
      <c r="Z51" s="1"/>
      <c r="AA51" s="1"/>
    </row>
    <row r="52" spans="1:27" ht="12.75" customHeight="1">
      <c r="A52" s="144"/>
      <c r="B52" s="144"/>
      <c r="C52" s="144"/>
      <c r="D52" s="144"/>
      <c r="E52" s="144"/>
      <c r="F52" s="144"/>
      <c r="G52" s="144"/>
      <c r="H52" s="144"/>
      <c r="I52" s="144"/>
      <c r="J52" s="144"/>
      <c r="K52" s="144"/>
      <c r="L52" s="144"/>
      <c r="M52" s="144"/>
      <c r="N52" s="174"/>
      <c r="O52" s="174"/>
      <c r="P52" s="174"/>
      <c r="Q52" s="174"/>
      <c r="R52" s="174"/>
      <c r="S52" s="174"/>
      <c r="T52" s="174"/>
      <c r="U52" s="389"/>
      <c r="V52" s="389"/>
      <c r="W52" s="389"/>
      <c r="X52" s="3"/>
      <c r="Y52" s="3"/>
      <c r="Z52" s="1"/>
      <c r="AA52" s="1"/>
    </row>
    <row r="53" spans="1:27" ht="13.5" customHeight="1">
      <c r="A53" s="144"/>
      <c r="B53" s="144"/>
      <c r="C53" s="162"/>
      <c r="D53" s="144"/>
      <c r="E53" s="144"/>
      <c r="F53" s="144"/>
      <c r="G53" s="144"/>
      <c r="H53" s="144"/>
      <c r="I53" s="144"/>
      <c r="J53" s="144"/>
      <c r="K53" s="144"/>
      <c r="L53" s="144"/>
      <c r="M53" s="144"/>
      <c r="N53" s="144"/>
      <c r="O53" s="144"/>
      <c r="P53" s="146"/>
      <c r="Q53" s="144"/>
      <c r="R53" s="144"/>
      <c r="S53" s="144"/>
      <c r="T53" s="144"/>
      <c r="U53" s="3"/>
      <c r="V53" s="3"/>
      <c r="W53" s="3"/>
      <c r="X53" s="437" t="s">
        <v>515</v>
      </c>
      <c r="Y53" s="3"/>
      <c r="Z53" s="1"/>
      <c r="AA53" s="1"/>
    </row>
    <row r="54" spans="1:27" ht="12.75">
      <c r="A54" s="152">
        <v>13</v>
      </c>
      <c r="B54" s="144"/>
      <c r="C54" s="432" t="s">
        <v>468</v>
      </c>
      <c r="D54" s="432"/>
      <c r="E54" s="144"/>
      <c r="F54" s="144"/>
      <c r="G54" s="144"/>
      <c r="H54" s="354"/>
      <c r="I54" s="144"/>
      <c r="J54" s="144"/>
      <c r="K54" s="144"/>
      <c r="L54" s="144"/>
      <c r="M54" s="144"/>
      <c r="N54" s="354"/>
      <c r="O54" s="144"/>
      <c r="P54" s="146"/>
      <c r="Q54" s="144"/>
      <c r="R54" s="144"/>
      <c r="S54" s="144"/>
      <c r="T54" s="354"/>
      <c r="U54" s="3"/>
      <c r="V54" s="3"/>
      <c r="W54" s="3"/>
      <c r="X54" s="437"/>
      <c r="Y54" s="375"/>
      <c r="Z54" s="1"/>
      <c r="AA54" s="1"/>
    </row>
    <row r="55" spans="1:27" ht="7.5" customHeight="1">
      <c r="A55" s="152"/>
      <c r="B55" s="144"/>
      <c r="C55" s="285"/>
      <c r="D55" s="285"/>
      <c r="E55" s="144"/>
      <c r="F55" s="144"/>
      <c r="G55" s="144"/>
      <c r="H55" s="357" t="b">
        <v>0</v>
      </c>
      <c r="I55" s="144"/>
      <c r="J55" s="144"/>
      <c r="K55" s="144"/>
      <c r="L55" s="144"/>
      <c r="M55" s="144"/>
      <c r="N55" s="357" t="b">
        <v>0</v>
      </c>
      <c r="O55" s="144"/>
      <c r="P55" s="146"/>
      <c r="Q55" s="144"/>
      <c r="R55" s="144"/>
      <c r="S55" s="144"/>
      <c r="T55" s="357" t="b">
        <v>0</v>
      </c>
      <c r="U55" s="3"/>
      <c r="V55" s="3"/>
      <c r="W55" s="3"/>
      <c r="X55" s="420" t="s">
        <v>514</v>
      </c>
      <c r="Y55" s="375"/>
      <c r="Z55" s="1"/>
      <c r="AA55" s="1"/>
    </row>
    <row r="56" spans="1:27" ht="12.75" customHeight="1">
      <c r="A56" s="152">
        <v>14</v>
      </c>
      <c r="B56" s="144"/>
      <c r="C56" s="432" t="s">
        <v>141</v>
      </c>
      <c r="D56" s="432"/>
      <c r="E56" s="144"/>
      <c r="F56" s="144"/>
      <c r="G56" s="144"/>
      <c r="H56" s="387">
        <f>IF(AND(Correction!H30,H57=TRUE),"Erreur !","")</f>
      </c>
      <c r="I56" s="144"/>
      <c r="J56" s="144"/>
      <c r="K56" s="144"/>
      <c r="L56" s="144"/>
      <c r="M56" s="144"/>
      <c r="N56" s="387">
        <f>IF(AND(Correction!N30,N57=TRUE),"Erreur !","")</f>
      </c>
      <c r="O56" s="144"/>
      <c r="P56" s="146"/>
      <c r="Q56" s="144"/>
      <c r="R56" s="144"/>
      <c r="S56" s="144"/>
      <c r="T56" s="387">
        <f>IF(AND(Correction!T30,T57=TRUE),"Erreur !","")</f>
      </c>
      <c r="U56" s="3"/>
      <c r="V56" s="3"/>
      <c r="W56" s="3"/>
      <c r="X56" s="420"/>
      <c r="Y56" s="3"/>
      <c r="Z56" s="1"/>
      <c r="AA56" s="1"/>
    </row>
    <row r="57" spans="1:27" ht="7.5" customHeight="1">
      <c r="A57" s="144"/>
      <c r="B57" s="144"/>
      <c r="C57" s="287"/>
      <c r="D57" s="156"/>
      <c r="E57" s="144"/>
      <c r="F57" s="144"/>
      <c r="G57" s="144"/>
      <c r="H57" s="357" t="b">
        <v>0</v>
      </c>
      <c r="I57" s="144"/>
      <c r="J57" s="144"/>
      <c r="K57" s="144"/>
      <c r="L57" s="144"/>
      <c r="M57" s="144"/>
      <c r="N57" s="357" t="b">
        <v>0</v>
      </c>
      <c r="O57" s="144"/>
      <c r="P57" s="146"/>
      <c r="Q57" s="144"/>
      <c r="R57" s="144"/>
      <c r="S57" s="144"/>
      <c r="T57" s="357" t="b">
        <v>0</v>
      </c>
      <c r="U57" s="3"/>
      <c r="V57" s="3"/>
      <c r="W57" s="3"/>
      <c r="X57" s="420"/>
      <c r="Y57" s="3"/>
      <c r="Z57" s="1"/>
      <c r="AA57" s="1"/>
    </row>
    <row r="58" spans="1:27" ht="12.75">
      <c r="A58" s="152">
        <v>15</v>
      </c>
      <c r="B58" s="144"/>
      <c r="C58" s="432" t="s">
        <v>142</v>
      </c>
      <c r="D58" s="432"/>
      <c r="E58" s="144"/>
      <c r="F58" s="144"/>
      <c r="G58" s="144"/>
      <c r="H58" s="354"/>
      <c r="I58" s="144"/>
      <c r="J58" s="144"/>
      <c r="K58" s="144"/>
      <c r="L58" s="144"/>
      <c r="M58" s="144"/>
      <c r="N58" s="354"/>
      <c r="O58" s="144"/>
      <c r="P58" s="146"/>
      <c r="Q58" s="144"/>
      <c r="R58" s="144"/>
      <c r="S58" s="144"/>
      <c r="T58" s="354"/>
      <c r="U58" s="3"/>
      <c r="V58" s="3"/>
      <c r="W58" s="3"/>
      <c r="X58" s="420"/>
      <c r="Y58" s="3"/>
      <c r="Z58" s="1"/>
      <c r="AA58" s="1"/>
    </row>
    <row r="59" spans="1:27" ht="7.5" customHeight="1">
      <c r="A59" s="144"/>
      <c r="B59" s="144"/>
      <c r="C59" s="287"/>
      <c r="D59" s="156"/>
      <c r="E59" s="144"/>
      <c r="F59" s="144"/>
      <c r="G59" s="144"/>
      <c r="H59" s="357" t="b">
        <v>0</v>
      </c>
      <c r="I59" s="144"/>
      <c r="J59" s="144"/>
      <c r="K59" s="144"/>
      <c r="L59" s="144"/>
      <c r="M59" s="144"/>
      <c r="N59" s="357" t="b">
        <v>0</v>
      </c>
      <c r="O59" s="144"/>
      <c r="P59" s="146"/>
      <c r="Q59" s="144"/>
      <c r="R59" s="144"/>
      <c r="S59" s="144"/>
      <c r="T59" s="357" t="b">
        <v>0</v>
      </c>
      <c r="U59" s="3"/>
      <c r="V59" s="3"/>
      <c r="W59" s="3"/>
      <c r="X59" s="420"/>
      <c r="Y59" s="375"/>
      <c r="Z59" s="1"/>
      <c r="AA59" s="1"/>
    </row>
    <row r="60" spans="1:27" ht="12.75">
      <c r="A60" s="152">
        <v>16</v>
      </c>
      <c r="B60" s="144"/>
      <c r="C60" s="432" t="s">
        <v>143</v>
      </c>
      <c r="D60" s="432"/>
      <c r="E60" s="144"/>
      <c r="F60" s="144"/>
      <c r="G60" s="144"/>
      <c r="H60" s="357"/>
      <c r="I60" s="144"/>
      <c r="J60" s="144"/>
      <c r="K60" s="144"/>
      <c r="L60" s="144"/>
      <c r="M60" s="144"/>
      <c r="N60" s="357"/>
      <c r="O60" s="144"/>
      <c r="P60" s="146"/>
      <c r="Q60" s="144"/>
      <c r="R60" s="144"/>
      <c r="S60" s="144"/>
      <c r="T60" s="357"/>
      <c r="U60" s="3"/>
      <c r="V60" s="3"/>
      <c r="W60" s="3"/>
      <c r="X60" s="420"/>
      <c r="Y60" s="375"/>
      <c r="Z60" s="1"/>
      <c r="AA60" s="1"/>
    </row>
    <row r="61" spans="1:27" ht="7.5" customHeight="1">
      <c r="A61" s="144"/>
      <c r="B61" s="144"/>
      <c r="C61" s="156"/>
      <c r="D61" s="156"/>
      <c r="E61" s="144"/>
      <c r="F61" s="144"/>
      <c r="G61" s="144"/>
      <c r="H61" s="357" t="b">
        <v>0</v>
      </c>
      <c r="I61" s="144"/>
      <c r="J61" s="144"/>
      <c r="K61" s="144"/>
      <c r="L61" s="144"/>
      <c r="M61" s="144"/>
      <c r="N61" s="357" t="b">
        <v>0</v>
      </c>
      <c r="O61" s="144"/>
      <c r="P61" s="146"/>
      <c r="Q61" s="144"/>
      <c r="R61" s="144"/>
      <c r="S61" s="144"/>
      <c r="T61" s="357" t="b">
        <v>0</v>
      </c>
      <c r="U61" s="3"/>
      <c r="V61" s="3"/>
      <c r="W61" s="3"/>
      <c r="X61" s="420"/>
      <c r="Y61" s="375"/>
      <c r="Z61" s="1"/>
      <c r="AA61" s="1"/>
    </row>
    <row r="62" spans="1:27" ht="12.75">
      <c r="A62" s="152">
        <v>17</v>
      </c>
      <c r="B62" s="144"/>
      <c r="C62" s="432" t="s">
        <v>469</v>
      </c>
      <c r="D62" s="432"/>
      <c r="E62" s="144"/>
      <c r="F62" s="144"/>
      <c r="G62" s="144"/>
      <c r="H62" s="357"/>
      <c r="I62" s="144"/>
      <c r="J62" s="144"/>
      <c r="K62" s="144"/>
      <c r="L62" s="144"/>
      <c r="M62" s="144"/>
      <c r="N62" s="357"/>
      <c r="O62" s="144"/>
      <c r="P62" s="146"/>
      <c r="Q62" s="144"/>
      <c r="R62" s="144"/>
      <c r="S62" s="144"/>
      <c r="T62" s="357"/>
      <c r="U62" s="3"/>
      <c r="V62" s="3"/>
      <c r="W62" s="3"/>
      <c r="X62" s="420"/>
      <c r="Y62" s="375"/>
      <c r="Z62" s="1"/>
      <c r="AA62" s="1"/>
    </row>
    <row r="63" spans="1:27" ht="7.5" customHeight="1">
      <c r="A63" s="144"/>
      <c r="B63" s="144"/>
      <c r="C63" s="156"/>
      <c r="D63" s="156"/>
      <c r="E63" s="144"/>
      <c r="F63" s="144"/>
      <c r="G63" s="144"/>
      <c r="H63" s="357" t="b">
        <v>0</v>
      </c>
      <c r="I63" s="144"/>
      <c r="J63" s="144"/>
      <c r="K63" s="144"/>
      <c r="L63" s="144"/>
      <c r="M63" s="144"/>
      <c r="N63" s="357" t="b">
        <v>0</v>
      </c>
      <c r="O63" s="144"/>
      <c r="P63" s="146"/>
      <c r="Q63" s="144"/>
      <c r="R63" s="144"/>
      <c r="S63" s="144"/>
      <c r="T63" s="357" t="b">
        <v>0</v>
      </c>
      <c r="U63" s="3"/>
      <c r="V63" s="3"/>
      <c r="W63" s="3"/>
      <c r="X63" s="5"/>
      <c r="Y63" s="375"/>
      <c r="Z63" s="1"/>
      <c r="AA63" s="1"/>
    </row>
    <row r="64" spans="1:27" ht="12.75">
      <c r="A64" s="152">
        <v>18</v>
      </c>
      <c r="B64" s="144"/>
      <c r="C64" s="432" t="s">
        <v>144</v>
      </c>
      <c r="D64" s="432"/>
      <c r="E64" s="144"/>
      <c r="F64" s="144"/>
      <c r="G64" s="144"/>
      <c r="H64" s="357"/>
      <c r="I64" s="144"/>
      <c r="J64" s="144"/>
      <c r="K64" s="144"/>
      <c r="L64" s="144"/>
      <c r="M64" s="144"/>
      <c r="N64" s="357"/>
      <c r="O64" s="144"/>
      <c r="P64" s="146"/>
      <c r="Q64" s="144"/>
      <c r="R64" s="144"/>
      <c r="S64" s="144"/>
      <c r="T64" s="357"/>
      <c r="U64" s="3"/>
      <c r="V64" s="3"/>
      <c r="W64" s="3"/>
      <c r="X64" s="413" t="s">
        <v>513</v>
      </c>
      <c r="Y64" s="375"/>
      <c r="Z64" s="1"/>
      <c r="AA64" s="1"/>
    </row>
    <row r="65" spans="1:27" ht="7.5" customHeight="1">
      <c r="A65" s="144"/>
      <c r="B65" s="144"/>
      <c r="C65" s="156"/>
      <c r="D65" s="156"/>
      <c r="E65" s="144"/>
      <c r="F65" s="144"/>
      <c r="G65" s="144"/>
      <c r="H65" s="357" t="b">
        <v>0</v>
      </c>
      <c r="I65" s="144"/>
      <c r="J65" s="144"/>
      <c r="K65" s="144"/>
      <c r="L65" s="144"/>
      <c r="M65" s="144"/>
      <c r="N65" s="357" t="b">
        <v>0</v>
      </c>
      <c r="O65" s="144"/>
      <c r="P65" s="146"/>
      <c r="Q65" s="144"/>
      <c r="R65" s="144"/>
      <c r="S65" s="144"/>
      <c r="T65" s="357" t="b">
        <v>0</v>
      </c>
      <c r="U65" s="3"/>
      <c r="V65" s="3"/>
      <c r="W65" s="3"/>
      <c r="X65" s="413"/>
      <c r="Y65" s="375"/>
      <c r="Z65" s="1"/>
      <c r="AA65" s="1"/>
    </row>
    <row r="66" spans="1:27" ht="12.75">
      <c r="A66" s="152">
        <v>19</v>
      </c>
      <c r="B66" s="144"/>
      <c r="C66" s="432" t="s">
        <v>145</v>
      </c>
      <c r="D66" s="432"/>
      <c r="E66" s="144"/>
      <c r="F66" s="144"/>
      <c r="G66" s="144"/>
      <c r="H66" s="357"/>
      <c r="I66" s="144"/>
      <c r="J66" s="144"/>
      <c r="K66" s="144"/>
      <c r="L66" s="144"/>
      <c r="M66" s="144"/>
      <c r="N66" s="357"/>
      <c r="O66" s="144"/>
      <c r="P66" s="146"/>
      <c r="Q66" s="144"/>
      <c r="R66" s="144"/>
      <c r="S66" s="144"/>
      <c r="T66" s="357"/>
      <c r="U66" s="3"/>
      <c r="V66" s="3"/>
      <c r="W66" s="3"/>
      <c r="X66" s="413"/>
      <c r="Y66" s="375"/>
      <c r="Z66" s="1"/>
      <c r="AA66" s="1"/>
    </row>
    <row r="67" spans="1:27" ht="12.75">
      <c r="A67" s="152"/>
      <c r="B67" s="144"/>
      <c r="C67" s="144"/>
      <c r="D67" s="145" t="s">
        <v>146</v>
      </c>
      <c r="E67" s="144"/>
      <c r="F67" s="144"/>
      <c r="G67" s="144"/>
      <c r="H67" s="357" t="b">
        <v>0</v>
      </c>
      <c r="I67" s="144"/>
      <c r="J67" s="144"/>
      <c r="K67" s="144"/>
      <c r="L67" s="144"/>
      <c r="M67" s="144"/>
      <c r="N67" s="357" t="b">
        <v>0</v>
      </c>
      <c r="O67" s="144"/>
      <c r="P67" s="146"/>
      <c r="Q67" s="144"/>
      <c r="R67" s="144"/>
      <c r="S67" s="144"/>
      <c r="T67" s="357" t="b">
        <v>0</v>
      </c>
      <c r="U67" s="3"/>
      <c r="V67" s="3"/>
      <c r="W67" s="3"/>
      <c r="X67" s="413"/>
      <c r="Y67" s="375"/>
      <c r="Z67" s="1"/>
      <c r="AA67" s="1"/>
    </row>
    <row r="68" spans="1:27" ht="4.5" customHeight="1">
      <c r="A68" s="144"/>
      <c r="B68" s="144"/>
      <c r="C68" s="144"/>
      <c r="D68" s="145" t="s">
        <v>63</v>
      </c>
      <c r="E68" s="144"/>
      <c r="F68" s="144"/>
      <c r="G68" s="144"/>
      <c r="H68" s="354"/>
      <c r="I68" s="144"/>
      <c r="J68" s="144"/>
      <c r="K68" s="144"/>
      <c r="L68" s="144"/>
      <c r="M68" s="144"/>
      <c r="N68" s="144"/>
      <c r="O68" s="144"/>
      <c r="P68" s="146"/>
      <c r="Q68" s="144"/>
      <c r="R68" s="144"/>
      <c r="S68" s="144"/>
      <c r="T68" s="144"/>
      <c r="U68" s="3"/>
      <c r="V68" s="3"/>
      <c r="W68" s="3"/>
      <c r="X68" s="413"/>
      <c r="Y68" s="375"/>
      <c r="Z68" s="1"/>
      <c r="AA68" s="1"/>
    </row>
    <row r="69" spans="1:27" ht="4.5" customHeight="1">
      <c r="A69" s="144"/>
      <c r="B69" s="144"/>
      <c r="C69" s="144"/>
      <c r="D69" s="145" t="s">
        <v>534</v>
      </c>
      <c r="E69" s="144"/>
      <c r="F69" s="144"/>
      <c r="G69" s="144"/>
      <c r="H69" s="144"/>
      <c r="I69" s="144"/>
      <c r="J69" s="144"/>
      <c r="K69" s="144"/>
      <c r="L69" s="144"/>
      <c r="M69" s="144"/>
      <c r="N69" s="144"/>
      <c r="O69" s="144"/>
      <c r="P69" s="146"/>
      <c r="Q69" s="144"/>
      <c r="R69" s="144"/>
      <c r="S69" s="144"/>
      <c r="T69" s="144"/>
      <c r="U69" s="3"/>
      <c r="V69" s="3"/>
      <c r="W69" s="3"/>
      <c r="X69" s="413"/>
      <c r="Y69" s="375"/>
      <c r="Z69" s="1"/>
      <c r="AA69" s="1"/>
    </row>
    <row r="70" spans="1:27" ht="4.5" customHeight="1">
      <c r="A70" s="144"/>
      <c r="B70" s="144"/>
      <c r="C70" s="144"/>
      <c r="D70" s="145" t="s">
        <v>147</v>
      </c>
      <c r="E70" s="144"/>
      <c r="F70" s="144"/>
      <c r="G70" s="144"/>
      <c r="H70" s="144"/>
      <c r="I70" s="144"/>
      <c r="J70" s="144"/>
      <c r="K70" s="144"/>
      <c r="L70" s="144"/>
      <c r="M70" s="144"/>
      <c r="N70" s="144"/>
      <c r="O70" s="144"/>
      <c r="P70" s="146"/>
      <c r="Q70" s="144"/>
      <c r="R70" s="144"/>
      <c r="S70" s="144"/>
      <c r="T70" s="144"/>
      <c r="U70" s="3"/>
      <c r="V70" s="3"/>
      <c r="W70" s="3"/>
      <c r="X70" s="413"/>
      <c r="Y70" s="375"/>
      <c r="Z70" s="1"/>
      <c r="AA70" s="1"/>
    </row>
    <row r="71" spans="1:27" ht="4.5" customHeight="1">
      <c r="A71" s="144"/>
      <c r="B71" s="144"/>
      <c r="C71" s="144"/>
      <c r="D71" s="145" t="s">
        <v>182</v>
      </c>
      <c r="E71" s="144"/>
      <c r="F71" s="144"/>
      <c r="G71" s="144"/>
      <c r="H71" s="144"/>
      <c r="I71" s="144"/>
      <c r="J71" s="145">
        <f>IF(M10=1,"","Chape sèche")</f>
      </c>
      <c r="K71" s="144"/>
      <c r="L71" s="144"/>
      <c r="M71" s="144"/>
      <c r="N71" s="144"/>
      <c r="O71" s="144"/>
      <c r="P71" s="145">
        <f>IF(S10=1,"","Chape sèche")</f>
      </c>
      <c r="Q71" s="144"/>
      <c r="R71" s="144"/>
      <c r="S71" s="144"/>
      <c r="T71" s="144"/>
      <c r="U71" s="3"/>
      <c r="V71" s="3"/>
      <c r="W71" s="3"/>
      <c r="X71" s="5"/>
      <c r="Y71" s="375"/>
      <c r="Z71" s="1"/>
      <c r="AA71" s="1"/>
    </row>
    <row r="72" spans="1:27" ht="4.5" customHeight="1">
      <c r="A72" s="144"/>
      <c r="B72" s="144"/>
      <c r="C72" s="144"/>
      <c r="D72" s="145" t="s">
        <v>529</v>
      </c>
      <c r="E72" s="144"/>
      <c r="F72" s="144"/>
      <c r="G72" s="144"/>
      <c r="H72" s="144"/>
      <c r="I72" s="144"/>
      <c r="J72" s="145">
        <f>IF(M10=1,"","Dalle flottante")</f>
      </c>
      <c r="K72" s="144"/>
      <c r="L72" s="144"/>
      <c r="M72" s="144"/>
      <c r="N72" s="144"/>
      <c r="O72" s="144"/>
      <c r="P72" s="145">
        <f>IF(S10=1,"","Dalle flottante")</f>
      </c>
      <c r="Q72" s="144"/>
      <c r="R72" s="144"/>
      <c r="S72" s="144"/>
      <c r="T72" s="144"/>
      <c r="U72" s="3"/>
      <c r="V72" s="3"/>
      <c r="W72" s="3"/>
      <c r="X72" s="5"/>
      <c r="Y72" s="375"/>
      <c r="Z72" s="1"/>
      <c r="AA72" s="1"/>
    </row>
    <row r="73" spans="1:27" ht="4.5" customHeight="1">
      <c r="A73" s="144"/>
      <c r="B73" s="144"/>
      <c r="C73" s="144"/>
      <c r="D73" s="145"/>
      <c r="E73" s="144"/>
      <c r="F73" s="144"/>
      <c r="G73" s="144"/>
      <c r="H73" s="144"/>
      <c r="I73" s="144"/>
      <c r="J73" s="145"/>
      <c r="K73" s="144"/>
      <c r="L73" s="144"/>
      <c r="M73" s="144"/>
      <c r="N73" s="144"/>
      <c r="O73" s="144"/>
      <c r="P73" s="145"/>
      <c r="Q73" s="144"/>
      <c r="R73" s="144"/>
      <c r="S73" s="144"/>
      <c r="T73" s="144"/>
      <c r="U73" s="3"/>
      <c r="V73" s="3"/>
      <c r="W73" s="3"/>
      <c r="X73" s="5"/>
      <c r="Y73" s="375"/>
      <c r="Z73" s="1"/>
      <c r="AA73" s="1"/>
    </row>
    <row r="74" spans="1:27" ht="15" customHeight="1">
      <c r="A74" s="144"/>
      <c r="B74" s="144"/>
      <c r="C74" s="433" t="s">
        <v>128</v>
      </c>
      <c r="D74" s="433"/>
      <c r="E74" s="144"/>
      <c r="F74" s="144"/>
      <c r="G74" s="155" t="s">
        <v>137</v>
      </c>
      <c r="H74" s="409">
        <f>Calc_iso!G84</f>
        <v>0</v>
      </c>
      <c r="I74" s="410"/>
      <c r="J74" s="410"/>
      <c r="K74" s="411"/>
      <c r="L74" s="144" t="s">
        <v>89</v>
      </c>
      <c r="M74" s="155" t="s">
        <v>138</v>
      </c>
      <c r="N74" s="409">
        <f>Calc_iso!I84</f>
        <v>0</v>
      </c>
      <c r="O74" s="410"/>
      <c r="P74" s="410"/>
      <c r="Q74" s="411"/>
      <c r="R74" s="168" t="s">
        <v>522</v>
      </c>
      <c r="S74" s="169"/>
      <c r="T74" s="144"/>
      <c r="U74" s="3"/>
      <c r="V74" s="3"/>
      <c r="W74" s="3"/>
      <c r="X74" s="413" t="s">
        <v>516</v>
      </c>
      <c r="Y74" s="375"/>
      <c r="Z74" s="1"/>
      <c r="AA74" s="1"/>
    </row>
    <row r="75" spans="1:27" ht="12.75">
      <c r="A75" s="144"/>
      <c r="B75" s="144"/>
      <c r="C75" s="144" t="s">
        <v>461</v>
      </c>
      <c r="D75" s="170"/>
      <c r="E75" s="144"/>
      <c r="F75" s="144"/>
      <c r="G75" s="144"/>
      <c r="H75" s="144"/>
      <c r="I75" s="144"/>
      <c r="J75" s="144"/>
      <c r="K75" s="144"/>
      <c r="L75" s="144"/>
      <c r="M75" s="144"/>
      <c r="N75" s="144"/>
      <c r="O75" s="144"/>
      <c r="P75" s="146"/>
      <c r="Q75" s="144"/>
      <c r="R75" s="144"/>
      <c r="S75" s="144"/>
      <c r="T75" s="144"/>
      <c r="U75" s="3"/>
      <c r="V75" s="3"/>
      <c r="W75" s="3"/>
      <c r="X75" s="413"/>
      <c r="Y75" s="3"/>
      <c r="Z75" s="1"/>
      <c r="AA75" s="1"/>
    </row>
    <row r="76" spans="1:27" ht="15" customHeight="1">
      <c r="A76" s="144"/>
      <c r="B76" s="144"/>
      <c r="C76" s="144"/>
      <c r="D76" s="170"/>
      <c r="E76" s="144"/>
      <c r="F76" s="144"/>
      <c r="G76" s="155"/>
      <c r="H76" s="409">
        <f>H74*1.196</f>
        <v>0</v>
      </c>
      <c r="I76" s="410"/>
      <c r="J76" s="410"/>
      <c r="K76" s="411"/>
      <c r="L76" s="144" t="s">
        <v>89</v>
      </c>
      <c r="M76" s="155" t="s">
        <v>138</v>
      </c>
      <c r="N76" s="409">
        <f>N74*1.196</f>
        <v>0</v>
      </c>
      <c r="O76" s="410"/>
      <c r="P76" s="410"/>
      <c r="Q76" s="411"/>
      <c r="R76" s="168" t="s">
        <v>521</v>
      </c>
      <c r="S76" s="144"/>
      <c r="T76" s="144"/>
      <c r="U76" s="3"/>
      <c r="V76" s="3"/>
      <c r="W76" s="3"/>
      <c r="X76" s="413"/>
      <c r="Y76" s="3"/>
      <c r="Z76" s="1"/>
      <c r="AA76" s="1"/>
    </row>
    <row r="77" spans="1:27" ht="9.75" customHeight="1">
      <c r="A77" s="144"/>
      <c r="B77" s="144"/>
      <c r="C77" s="144"/>
      <c r="D77" s="170"/>
      <c r="E77" s="144"/>
      <c r="F77" s="144"/>
      <c r="G77" s="144"/>
      <c r="H77" s="144"/>
      <c r="I77" s="144"/>
      <c r="J77" s="144"/>
      <c r="K77" s="144"/>
      <c r="L77" s="144"/>
      <c r="M77" s="144"/>
      <c r="N77" s="144"/>
      <c r="O77" s="144"/>
      <c r="P77" s="146"/>
      <c r="Q77" s="144"/>
      <c r="R77" s="144"/>
      <c r="S77" s="144"/>
      <c r="T77" s="144"/>
      <c r="U77" s="3"/>
      <c r="V77" s="3"/>
      <c r="W77" s="3"/>
      <c r="X77" s="413"/>
      <c r="Y77" s="3"/>
      <c r="Z77" s="1"/>
      <c r="AA77" s="1"/>
    </row>
    <row r="78" spans="1:27" ht="12.75">
      <c r="A78" s="144"/>
      <c r="B78" s="144"/>
      <c r="C78" s="144"/>
      <c r="D78" s="170"/>
      <c r="E78" s="144"/>
      <c r="F78" s="144"/>
      <c r="G78" s="144" t="s">
        <v>254</v>
      </c>
      <c r="H78" s="144"/>
      <c r="I78" s="144"/>
      <c r="J78" s="144"/>
      <c r="K78" s="144"/>
      <c r="L78" s="144"/>
      <c r="M78" s="144"/>
      <c r="N78" s="144"/>
      <c r="O78" s="144"/>
      <c r="P78" s="146"/>
      <c r="Q78" s="144"/>
      <c r="R78" s="144"/>
      <c r="S78" s="144"/>
      <c r="T78" s="144"/>
      <c r="U78" s="3"/>
      <c r="V78" s="3"/>
      <c r="W78" s="3"/>
      <c r="X78" s="5"/>
      <c r="Y78" s="3"/>
      <c r="Z78" s="1"/>
      <c r="AA78" s="1"/>
    </row>
    <row r="79" spans="1:27" ht="12.75">
      <c r="A79" s="144"/>
      <c r="B79" s="144"/>
      <c r="C79" s="144"/>
      <c r="D79" s="170"/>
      <c r="E79" s="144"/>
      <c r="F79" s="144"/>
      <c r="G79" s="144"/>
      <c r="H79" s="144"/>
      <c r="I79" s="144"/>
      <c r="J79" s="144"/>
      <c r="K79" s="144"/>
      <c r="L79" s="144"/>
      <c r="M79" s="144"/>
      <c r="N79" s="144"/>
      <c r="O79" s="144"/>
      <c r="P79" s="146"/>
      <c r="Q79" s="144"/>
      <c r="R79" s="144"/>
      <c r="S79" s="144"/>
      <c r="T79" s="144"/>
      <c r="U79" s="3"/>
      <c r="V79" s="3"/>
      <c r="W79" s="3"/>
      <c r="X79" s="5"/>
      <c r="Y79" s="3"/>
      <c r="Z79" s="1"/>
      <c r="AA79" s="1"/>
    </row>
    <row r="80" spans="1:27" ht="12.75">
      <c r="A80" s="144"/>
      <c r="B80" s="144"/>
      <c r="C80" s="144"/>
      <c r="D80" s="144"/>
      <c r="E80" s="144"/>
      <c r="F80" s="144"/>
      <c r="G80" s="156"/>
      <c r="H80" s="144"/>
      <c r="I80" s="144"/>
      <c r="J80" s="144"/>
      <c r="K80" s="144"/>
      <c r="L80" s="144"/>
      <c r="M80" s="144"/>
      <c r="N80" s="144"/>
      <c r="O80" s="144"/>
      <c r="P80" s="146"/>
      <c r="Q80" s="144"/>
      <c r="R80" s="144"/>
      <c r="S80" s="144"/>
      <c r="T80" s="144"/>
      <c r="U80" s="144"/>
      <c r="V80" s="144"/>
      <c r="W80" s="144"/>
      <c r="X80" s="145"/>
      <c r="Y80" s="144"/>
      <c r="Z80" s="1"/>
      <c r="AA80" s="1"/>
    </row>
    <row r="81" spans="1:27" ht="12.75">
      <c r="A81" s="144"/>
      <c r="B81" s="144"/>
      <c r="C81" s="144"/>
      <c r="D81" s="144"/>
      <c r="E81" s="144"/>
      <c r="F81" s="144"/>
      <c r="G81" s="144"/>
      <c r="H81" s="144"/>
      <c r="I81" s="144"/>
      <c r="J81" s="144"/>
      <c r="K81" s="144"/>
      <c r="L81" s="144"/>
      <c r="M81" s="144"/>
      <c r="N81" s="144"/>
      <c r="O81" s="144"/>
      <c r="P81" s="146"/>
      <c r="Q81" s="144"/>
      <c r="R81" s="144"/>
      <c r="S81" s="144"/>
      <c r="T81" s="144"/>
      <c r="U81" s="144"/>
      <c r="V81" s="144"/>
      <c r="W81" s="144"/>
      <c r="X81" s="145"/>
      <c r="Y81" s="144"/>
      <c r="Z81" s="1"/>
      <c r="AA81" s="1"/>
    </row>
    <row r="82" spans="1:27" ht="12.75">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
      <c r="AA82" s="1"/>
    </row>
    <row r="83" spans="1:27" ht="12.75">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
      <c r="AA83" s="1"/>
    </row>
    <row r="84" spans="1:27" ht="12.75">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
      <c r="AA84" s="1"/>
    </row>
    <row r="85" spans="1:27" ht="12.75">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
      <c r="AA85" s="1"/>
    </row>
    <row r="86" spans="1:27" ht="12.75">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
      <c r="AA86" s="1"/>
    </row>
    <row r="87" spans="1:27" ht="12.75">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
      <c r="AA87" s="1"/>
    </row>
    <row r="88" spans="1:27" ht="12.75">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
      <c r="AA88" s="1"/>
    </row>
    <row r="89" spans="1:27" ht="12.75">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
      <c r="AA89" s="1"/>
    </row>
    <row r="90" spans="1:27" ht="12.75">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
      <c r="AA90" s="1"/>
    </row>
    <row r="91" spans="1:27" ht="12.75">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
      <c r="AA91" s="1"/>
    </row>
    <row r="92" spans="1:27" ht="12.75">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
      <c r="AA92" s="1"/>
    </row>
    <row r="93" spans="1:27" ht="12.75">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
      <c r="AA93" s="1"/>
    </row>
    <row r="94" spans="1:27" ht="12.75">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
      <c r="AA94" s="1"/>
    </row>
    <row r="95" spans="1:27" ht="12.75">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
      <c r="AA95" s="1"/>
    </row>
    <row r="96" spans="1:27" ht="12.75">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
      <c r="AA96" s="1"/>
    </row>
    <row r="97" spans="1:27" ht="12.7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sheetData>
  <sheetProtection password="9C19" sheet="1" objects="1" scenarios="1" selectLockedCells="1"/>
  <mergeCells count="44">
    <mergeCell ref="H76:K76"/>
    <mergeCell ref="N76:Q76"/>
    <mergeCell ref="H46:K46"/>
    <mergeCell ref="C54:D54"/>
    <mergeCell ref="N48:Q48"/>
    <mergeCell ref="H48:K48"/>
    <mergeCell ref="H74:K74"/>
    <mergeCell ref="N74:Q74"/>
    <mergeCell ref="N46:Q46"/>
    <mergeCell ref="C64:D64"/>
    <mergeCell ref="X10:Y12"/>
    <mergeCell ref="X55:X62"/>
    <mergeCell ref="X74:X77"/>
    <mergeCell ref="X53:X54"/>
    <mergeCell ref="X33:X34"/>
    <mergeCell ref="X35:Y37"/>
    <mergeCell ref="X38:Y42"/>
    <mergeCell ref="X43:Y46"/>
    <mergeCell ref="X64:X70"/>
    <mergeCell ref="X51:Y51"/>
    <mergeCell ref="C9:D9"/>
    <mergeCell ref="C11:D11"/>
    <mergeCell ref="C19:D19"/>
    <mergeCell ref="C21:D21"/>
    <mergeCell ref="C13:D13"/>
    <mergeCell ref="C15:D15"/>
    <mergeCell ref="C17:D17"/>
    <mergeCell ref="C46:D46"/>
    <mergeCell ref="C28:D28"/>
    <mergeCell ref="C25:D25"/>
    <mergeCell ref="C39:D39"/>
    <mergeCell ref="C33:D33"/>
    <mergeCell ref="C35:D35"/>
    <mergeCell ref="C37:D37"/>
    <mergeCell ref="C66:D66"/>
    <mergeCell ref="C74:D74"/>
    <mergeCell ref="C23:D23"/>
    <mergeCell ref="C30:D30"/>
    <mergeCell ref="C58:D58"/>
    <mergeCell ref="C60:D60"/>
    <mergeCell ref="C56:D56"/>
    <mergeCell ref="C62:D62"/>
    <mergeCell ref="C41:D41"/>
    <mergeCell ref="C43:D43"/>
  </mergeCells>
  <conditionalFormatting sqref="H74:K74 N74:Q74 S13:S15 G23 G17 G19 G21 G13:G15 M23 M17 M19 M21 M13:M15 S23 S17 S19 S21 N46:Q48 H46:K48 H76:K76 N76:Q76">
    <cfRule type="cellIs" priority="1" dxfId="2" operator="equal" stopIfTrue="1">
      <formula>0</formula>
    </cfRule>
  </conditionalFormatting>
  <conditionalFormatting sqref="M40:M43 G40:G43 S40:S43">
    <cfRule type="cellIs" priority="2" dxfId="2" operator="equal" stopIfTrue="1">
      <formula>0</formula>
    </cfRule>
  </conditionalFormatting>
  <printOptions/>
  <pageMargins left="0.75" right="0.75" top="1" bottom="1" header="0.4921259845" footer="0.492125984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Feuil5"/>
  <dimension ref="A1:AA126"/>
  <sheetViews>
    <sheetView showRowColHeaders="0" zoomScalePageLayoutView="0" workbookViewId="0" topLeftCell="A1">
      <selection activeCell="H30" sqref="H30"/>
    </sheetView>
  </sheetViews>
  <sheetFormatPr defaultColWidth="11.421875" defaultRowHeight="12.75"/>
  <cols>
    <col min="1" max="1" width="3.7109375" style="0" customWidth="1"/>
    <col min="2" max="2" width="1.7109375" style="0" customWidth="1"/>
    <col min="3" max="3" width="11.7109375" style="0" customWidth="1"/>
    <col min="4" max="4" width="7.7109375" style="0" customWidth="1"/>
    <col min="5" max="5" width="11.7109375" style="0" customWidth="1"/>
    <col min="6" max="6" width="1.7109375" style="0" customWidth="1"/>
    <col min="7" max="7" width="6.7109375" style="0" customWidth="1"/>
    <col min="8" max="8" width="1.7109375" style="0" customWidth="1"/>
    <col min="9" max="9" width="2.7109375" style="0" customWidth="1"/>
    <col min="10" max="10" width="2.28125" style="0" customWidth="1"/>
    <col min="11" max="11" width="2.7109375" style="0" customWidth="1"/>
    <col min="12" max="12" width="1.7109375" style="0" customWidth="1"/>
    <col min="13" max="13" width="6.7109375" style="0" customWidth="1"/>
    <col min="14" max="14" width="1.7109375" style="0" customWidth="1"/>
    <col min="15" max="15" width="2.7109375" style="0" customWidth="1"/>
    <col min="16" max="16" width="2.28125" style="0" customWidth="1"/>
    <col min="17" max="17" width="2.7109375" style="0" customWidth="1"/>
    <col min="18" max="18" width="1.7109375" style="0" customWidth="1"/>
    <col min="19" max="19" width="6.7109375" style="0" customWidth="1"/>
    <col min="20" max="20" width="1.7109375" style="0" customWidth="1"/>
    <col min="21" max="21" width="2.7109375" style="0" customWidth="1"/>
    <col min="22" max="22" width="2.28125" style="0" customWidth="1"/>
    <col min="23" max="24" width="2.7109375" style="0" customWidth="1"/>
    <col min="25" max="25" width="44.7109375" style="0" customWidth="1"/>
    <col min="27" max="27" width="100.7109375" style="0" customWidth="1"/>
  </cols>
  <sheetData>
    <row r="1" spans="1:27" ht="12.75">
      <c r="A1" s="3"/>
      <c r="B1" s="3"/>
      <c r="C1" s="3"/>
      <c r="D1" s="3"/>
      <c r="E1" s="3"/>
      <c r="F1" s="3"/>
      <c r="G1" s="3"/>
      <c r="H1" s="3"/>
      <c r="I1" s="3"/>
      <c r="J1" s="3"/>
      <c r="K1" s="3"/>
      <c r="L1" s="3"/>
      <c r="M1" s="3"/>
      <c r="N1" s="3"/>
      <c r="O1" s="3"/>
      <c r="P1" s="3"/>
      <c r="Q1" s="3"/>
      <c r="R1" s="3"/>
      <c r="S1" s="3"/>
      <c r="T1" s="3"/>
      <c r="U1" s="3"/>
      <c r="V1" s="3"/>
      <c r="W1" s="3"/>
      <c r="X1" s="3"/>
      <c r="Y1" s="144"/>
      <c r="Z1" s="1"/>
      <c r="AA1" s="1"/>
    </row>
    <row r="2" spans="1:27" ht="14.25">
      <c r="A2" s="3"/>
      <c r="B2" s="3"/>
      <c r="C2" s="3"/>
      <c r="D2" s="3"/>
      <c r="E2" s="3"/>
      <c r="F2" s="3"/>
      <c r="G2" s="3"/>
      <c r="H2" s="3"/>
      <c r="I2" s="3"/>
      <c r="J2" s="144"/>
      <c r="K2" s="3"/>
      <c r="L2" s="3"/>
      <c r="M2" s="4" t="s">
        <v>113</v>
      </c>
      <c r="N2" s="3"/>
      <c r="O2" s="3"/>
      <c r="P2" s="144"/>
      <c r="Q2" s="3"/>
      <c r="R2" s="3"/>
      <c r="S2" s="3"/>
      <c r="T2" s="3"/>
      <c r="U2" s="3"/>
      <c r="V2" s="3"/>
      <c r="W2" s="3"/>
      <c r="X2" s="5" t="str">
        <f>IF(M10=1,"Aucune","Isolation")</f>
        <v>Aucune</v>
      </c>
      <c r="Y2" s="144"/>
      <c r="Z2" s="1"/>
      <c r="AA2" s="1"/>
    </row>
    <row r="3" spans="1:27" ht="18" customHeight="1">
      <c r="A3" s="3"/>
      <c r="B3" s="3"/>
      <c r="C3" s="3"/>
      <c r="D3" s="3"/>
      <c r="E3" s="3"/>
      <c r="F3" s="3"/>
      <c r="G3" s="3"/>
      <c r="H3" s="3"/>
      <c r="I3" s="3"/>
      <c r="J3" s="144"/>
      <c r="K3" s="3"/>
      <c r="L3" s="3"/>
      <c r="M3" s="6" t="s">
        <v>324</v>
      </c>
      <c r="N3" s="3"/>
      <c r="O3" s="3"/>
      <c r="P3" s="144"/>
      <c r="Q3" s="3"/>
      <c r="R3" s="3"/>
      <c r="S3" s="3"/>
      <c r="T3" s="3"/>
      <c r="U3" s="3"/>
      <c r="V3" s="3"/>
      <c r="W3" s="3"/>
      <c r="X3" s="5"/>
      <c r="Y3" s="144"/>
      <c r="Z3" s="1"/>
      <c r="AA3" s="1"/>
    </row>
    <row r="4" spans="1:27" ht="14.25">
      <c r="A4" s="3"/>
      <c r="B4" s="3"/>
      <c r="C4" s="5" t="s">
        <v>82</v>
      </c>
      <c r="D4" s="5"/>
      <c r="E4" s="3"/>
      <c r="F4" s="3"/>
      <c r="G4" s="3"/>
      <c r="H4" s="3"/>
      <c r="I4" s="3"/>
      <c r="J4" s="3"/>
      <c r="K4" s="3"/>
      <c r="L4" s="3"/>
      <c r="M4" s="3"/>
      <c r="N4" s="3"/>
      <c r="O4" s="3"/>
      <c r="P4" s="3"/>
      <c r="Q4" s="3"/>
      <c r="R4" s="3"/>
      <c r="S4" s="3"/>
      <c r="T4" s="3"/>
      <c r="U4" s="3"/>
      <c r="V4" s="3"/>
      <c r="W4" s="3"/>
      <c r="X4" s="5"/>
      <c r="Y4" s="175" t="s">
        <v>96</v>
      </c>
      <c r="Z4" s="1"/>
      <c r="AA4" s="1"/>
    </row>
    <row r="5" spans="1:27" ht="9.75" customHeight="1">
      <c r="A5" s="3"/>
      <c r="B5" s="3"/>
      <c r="C5" s="5" t="s">
        <v>85</v>
      </c>
      <c r="D5" s="5"/>
      <c r="E5" s="3"/>
      <c r="F5" s="3"/>
      <c r="G5" s="3"/>
      <c r="H5" s="3"/>
      <c r="I5" s="3"/>
      <c r="J5" s="3"/>
      <c r="K5" s="3"/>
      <c r="L5" s="3"/>
      <c r="M5" s="3"/>
      <c r="N5" s="3"/>
      <c r="O5" s="3"/>
      <c r="P5" s="3"/>
      <c r="Q5" s="3"/>
      <c r="R5" s="3"/>
      <c r="S5" s="3"/>
      <c r="T5" s="3"/>
      <c r="U5" s="3"/>
      <c r="V5" s="3"/>
      <c r="W5" s="3"/>
      <c r="X5" s="5"/>
      <c r="Y5" s="144"/>
      <c r="Z5" s="1"/>
      <c r="AA5" s="1"/>
    </row>
    <row r="6" spans="1:27" ht="18" customHeight="1">
      <c r="A6" s="3"/>
      <c r="B6" s="3"/>
      <c r="C6" s="5" t="s">
        <v>86</v>
      </c>
      <c r="D6" s="5"/>
      <c r="E6" s="7"/>
      <c r="F6" s="7"/>
      <c r="G6" s="7"/>
      <c r="H6" s="7"/>
      <c r="I6" s="7"/>
      <c r="J6" s="3"/>
      <c r="K6" s="7"/>
      <c r="L6" s="7"/>
      <c r="M6" s="7"/>
      <c r="N6" s="7"/>
      <c r="O6" s="7"/>
      <c r="P6" s="3"/>
      <c r="Q6" s="7"/>
      <c r="R6" s="7"/>
      <c r="S6" s="7"/>
      <c r="T6" s="7"/>
      <c r="U6" s="7"/>
      <c r="V6" s="3"/>
      <c r="W6" s="3"/>
      <c r="X6" s="5"/>
      <c r="Y6" s="393" t="s">
        <v>96</v>
      </c>
      <c r="Z6" s="1"/>
      <c r="AA6" s="1"/>
    </row>
    <row r="7" spans="1:27" ht="12.75">
      <c r="A7" s="3"/>
      <c r="B7" s="3"/>
      <c r="C7" s="5" t="s">
        <v>83</v>
      </c>
      <c r="D7" s="5"/>
      <c r="E7" s="7"/>
      <c r="F7" s="7"/>
      <c r="G7" s="142" t="s">
        <v>386</v>
      </c>
      <c r="H7" s="7"/>
      <c r="I7" s="7"/>
      <c r="J7" s="3"/>
      <c r="K7" s="7"/>
      <c r="L7" s="7"/>
      <c r="M7" s="142" t="s">
        <v>393</v>
      </c>
      <c r="N7" s="7"/>
      <c r="O7" s="7"/>
      <c r="P7" s="3"/>
      <c r="Q7" s="7"/>
      <c r="R7" s="7"/>
      <c r="S7" s="142" t="s">
        <v>394</v>
      </c>
      <c r="T7" s="7"/>
      <c r="U7" s="7"/>
      <c r="V7" s="3"/>
      <c r="W7" s="3"/>
      <c r="X7" s="5"/>
      <c r="Y7" s="412" t="s">
        <v>287</v>
      </c>
      <c r="Z7" s="1"/>
      <c r="AA7" s="1"/>
    </row>
    <row r="8" spans="1:27" ht="12.75">
      <c r="A8" s="3"/>
      <c r="B8" s="3"/>
      <c r="C8" s="5" t="s">
        <v>84</v>
      </c>
      <c r="D8" s="5"/>
      <c r="E8" s="7"/>
      <c r="F8" s="7"/>
      <c r="G8" s="7"/>
      <c r="H8" s="7"/>
      <c r="I8" s="7"/>
      <c r="J8" s="3"/>
      <c r="K8" s="7"/>
      <c r="L8" s="7"/>
      <c r="M8" s="7"/>
      <c r="N8" s="7"/>
      <c r="O8" s="7"/>
      <c r="P8" s="3"/>
      <c r="Q8" s="7"/>
      <c r="R8" s="7"/>
      <c r="S8" s="7"/>
      <c r="T8" s="7"/>
      <c r="U8" s="7"/>
      <c r="V8" s="3"/>
      <c r="W8" s="3"/>
      <c r="X8" s="3"/>
      <c r="Y8" s="412"/>
      <c r="Z8" s="1"/>
      <c r="AA8" s="1"/>
    </row>
    <row r="9" spans="1:27" ht="14.25" customHeight="1">
      <c r="A9" s="3"/>
      <c r="B9" s="144"/>
      <c r="C9" s="154"/>
      <c r="D9" s="8" t="s">
        <v>255</v>
      </c>
      <c r="E9" s="7"/>
      <c r="F9" s="7"/>
      <c r="G9" s="7"/>
      <c r="H9" s="7"/>
      <c r="I9" s="7"/>
      <c r="J9" s="3"/>
      <c r="K9" s="7"/>
      <c r="L9" s="7"/>
      <c r="M9" s="7"/>
      <c r="N9" s="7"/>
      <c r="O9" s="7"/>
      <c r="P9" s="3"/>
      <c r="Q9" s="7"/>
      <c r="R9" s="7"/>
      <c r="S9" s="7"/>
      <c r="T9" s="7"/>
      <c r="U9" s="7"/>
      <c r="V9" s="3"/>
      <c r="W9" s="3"/>
      <c r="X9" s="5"/>
      <c r="Y9" s="412"/>
      <c r="Z9" s="1"/>
      <c r="AA9" s="1"/>
    </row>
    <row r="10" spans="1:27" ht="24">
      <c r="A10" s="3"/>
      <c r="B10" s="144"/>
      <c r="C10" s="144"/>
      <c r="D10" s="9" t="s">
        <v>94</v>
      </c>
      <c r="E10" s="7"/>
      <c r="F10" s="7"/>
      <c r="G10" s="359">
        <v>1</v>
      </c>
      <c r="H10" s="7"/>
      <c r="I10" s="7"/>
      <c r="J10" s="3"/>
      <c r="K10" s="7"/>
      <c r="L10" s="7"/>
      <c r="M10" s="359">
        <v>1</v>
      </c>
      <c r="N10" s="7"/>
      <c r="O10" s="7"/>
      <c r="P10" s="3"/>
      <c r="Q10" s="7"/>
      <c r="R10" s="7"/>
      <c r="S10" s="359">
        <v>1</v>
      </c>
      <c r="T10" s="7"/>
      <c r="U10" s="7"/>
      <c r="V10" s="3"/>
      <c r="W10" s="3"/>
      <c r="X10" s="5"/>
      <c r="Y10" s="176" t="s">
        <v>283</v>
      </c>
      <c r="Z10" s="1"/>
      <c r="AA10" s="1"/>
    </row>
    <row r="11" spans="1:27" ht="9.75" customHeight="1">
      <c r="A11" s="3"/>
      <c r="B11" s="144"/>
      <c r="C11" s="144"/>
      <c r="D11" s="9"/>
      <c r="E11" s="7"/>
      <c r="F11" s="7"/>
      <c r="G11" s="10"/>
      <c r="H11" s="7"/>
      <c r="I11" s="7"/>
      <c r="J11" s="3"/>
      <c r="K11" s="7"/>
      <c r="L11" s="7"/>
      <c r="M11" s="10"/>
      <c r="N11" s="7"/>
      <c r="O11" s="7"/>
      <c r="P11" s="3"/>
      <c r="Q11" s="7"/>
      <c r="R11" s="7"/>
      <c r="S11" s="10"/>
      <c r="T11" s="7"/>
      <c r="U11" s="7"/>
      <c r="V11" s="3"/>
      <c r="W11" s="3"/>
      <c r="X11" s="5"/>
      <c r="Y11" s="144"/>
      <c r="Z11" s="1"/>
      <c r="AA11" s="1"/>
    </row>
    <row r="12" spans="1:27" ht="15" customHeight="1">
      <c r="A12" s="3"/>
      <c r="B12" s="144"/>
      <c r="C12" s="144"/>
      <c r="D12" s="8" t="s">
        <v>253</v>
      </c>
      <c r="E12" s="7"/>
      <c r="F12" s="442" t="str">
        <f>Calc_cor!B10</f>
        <v>Aucune</v>
      </c>
      <c r="G12" s="443"/>
      <c r="H12" s="444"/>
      <c r="I12" s="7"/>
      <c r="J12" s="3"/>
      <c r="K12" s="7"/>
      <c r="L12" s="442" t="str">
        <f>Calc_cor!C10</f>
        <v>Aucune</v>
      </c>
      <c r="M12" s="443"/>
      <c r="N12" s="444"/>
      <c r="O12" s="7"/>
      <c r="P12" s="3"/>
      <c r="Q12" s="7"/>
      <c r="R12" s="442" t="str">
        <f>Calc_cor!D10</f>
        <v>Aucune</v>
      </c>
      <c r="S12" s="443"/>
      <c r="T12" s="444"/>
      <c r="U12" s="7"/>
      <c r="V12" s="3"/>
      <c r="W12" s="3"/>
      <c r="X12" s="5"/>
      <c r="Y12" s="144"/>
      <c r="Z12" s="1"/>
      <c r="AA12" s="1"/>
    </row>
    <row r="13" spans="1:27" ht="13.5" customHeight="1">
      <c r="A13" s="3"/>
      <c r="B13" s="144"/>
      <c r="C13" s="144"/>
      <c r="D13" s="9"/>
      <c r="E13" s="7"/>
      <c r="F13" s="7"/>
      <c r="G13" s="10"/>
      <c r="H13" s="7"/>
      <c r="I13" s="7"/>
      <c r="J13" s="3"/>
      <c r="K13" s="7"/>
      <c r="L13" s="7"/>
      <c r="M13" s="10"/>
      <c r="N13" s="7"/>
      <c r="O13" s="7"/>
      <c r="P13" s="3"/>
      <c r="Q13" s="7"/>
      <c r="R13" s="7"/>
      <c r="S13" s="10"/>
      <c r="T13" s="7"/>
      <c r="U13" s="7"/>
      <c r="V13" s="3"/>
      <c r="W13" s="3"/>
      <c r="X13" s="5"/>
      <c r="Y13" s="144"/>
      <c r="Z13" s="1"/>
      <c r="AA13" s="1"/>
    </row>
    <row r="14" spans="1:27" ht="15" customHeight="1">
      <c r="A14" s="3"/>
      <c r="B14" s="144"/>
      <c r="C14" s="144"/>
      <c r="D14" s="8" t="s">
        <v>166</v>
      </c>
      <c r="E14" s="7"/>
      <c r="F14" s="7"/>
      <c r="G14" s="133">
        <f>IF(G10&gt;1,Surfaces!H79,0)</f>
        <v>0</v>
      </c>
      <c r="H14" s="7" t="s">
        <v>244</v>
      </c>
      <c r="I14" s="7"/>
      <c r="J14" s="3"/>
      <c r="K14" s="7"/>
      <c r="L14" s="7"/>
      <c r="M14" s="133">
        <f>IF(M10&gt;1,Surfaces!O79,0)</f>
        <v>0</v>
      </c>
      <c r="N14" s="7" t="s">
        <v>244</v>
      </c>
      <c r="O14" s="7"/>
      <c r="P14" s="3"/>
      <c r="Q14" s="7"/>
      <c r="R14" s="7"/>
      <c r="S14" s="133">
        <f>IF(S10&gt;1,Surfaces!V79,0)</f>
        <v>0</v>
      </c>
      <c r="T14" s="7" t="s">
        <v>244</v>
      </c>
      <c r="U14" s="7"/>
      <c r="V14" s="3"/>
      <c r="W14" s="3"/>
      <c r="X14" s="5"/>
      <c r="Y14" s="150"/>
      <c r="Z14" s="1"/>
      <c r="AA14" s="1"/>
    </row>
    <row r="15" spans="1:27" ht="24.75" customHeight="1">
      <c r="A15" s="3"/>
      <c r="B15" s="144"/>
      <c r="C15" s="144"/>
      <c r="D15" s="9"/>
      <c r="E15" s="7"/>
      <c r="F15" s="7"/>
      <c r="G15" s="10">
        <v>2</v>
      </c>
      <c r="H15" s="7"/>
      <c r="I15" s="7"/>
      <c r="J15" s="3"/>
      <c r="K15" s="7"/>
      <c r="L15" s="7"/>
      <c r="M15" s="10">
        <v>2</v>
      </c>
      <c r="N15" s="7"/>
      <c r="O15" s="7"/>
      <c r="P15" s="3"/>
      <c r="Q15" s="7"/>
      <c r="R15" s="7"/>
      <c r="S15" s="10">
        <v>2</v>
      </c>
      <c r="T15" s="7"/>
      <c r="U15" s="7"/>
      <c r="V15" s="3"/>
      <c r="W15" s="3"/>
      <c r="X15" s="5"/>
      <c r="Y15" s="144"/>
      <c r="Z15" s="1"/>
      <c r="AA15" s="1"/>
    </row>
    <row r="16" spans="1:27" ht="15" customHeight="1">
      <c r="A16" s="3"/>
      <c r="B16" s="144"/>
      <c r="C16" s="114" t="s">
        <v>301</v>
      </c>
      <c r="D16" s="9"/>
      <c r="E16" s="7"/>
      <c r="F16" s="7"/>
      <c r="G16" s="7"/>
      <c r="H16" s="155" t="s">
        <v>137</v>
      </c>
      <c r="I16" s="408">
        <f>Calc_cor!C63</f>
        <v>0</v>
      </c>
      <c r="J16" s="440"/>
      <c r="K16" s="440"/>
      <c r="L16" s="441"/>
      <c r="M16" s="113" t="s">
        <v>250</v>
      </c>
      <c r="N16" s="408">
        <f>Calc_cor!E63</f>
        <v>0</v>
      </c>
      <c r="O16" s="440"/>
      <c r="P16" s="440"/>
      <c r="Q16" s="441"/>
      <c r="R16" s="3" t="s">
        <v>523</v>
      </c>
      <c r="S16" s="7"/>
      <c r="T16" s="7"/>
      <c r="U16" s="7"/>
      <c r="V16" s="3"/>
      <c r="W16" s="3"/>
      <c r="X16" s="5"/>
      <c r="Y16" s="144"/>
      <c r="Z16" s="1"/>
      <c r="AA16" s="1"/>
    </row>
    <row r="17" spans="1:27" ht="9.75" customHeight="1">
      <c r="A17" s="3"/>
      <c r="B17" s="144"/>
      <c r="C17" s="154"/>
      <c r="D17" s="144"/>
      <c r="E17" s="7"/>
      <c r="F17" s="7"/>
      <c r="G17" s="144"/>
      <c r="H17" s="7"/>
      <c r="I17" s="7"/>
      <c r="J17" s="3"/>
      <c r="K17" s="144"/>
      <c r="L17" s="99"/>
      <c r="M17" s="7"/>
      <c r="N17" s="7"/>
      <c r="O17" s="7"/>
      <c r="P17" s="3"/>
      <c r="Q17" s="7"/>
      <c r="R17" s="7"/>
      <c r="S17" s="7"/>
      <c r="T17" s="7"/>
      <c r="U17" s="7"/>
      <c r="V17" s="3"/>
      <c r="W17" s="3"/>
      <c r="X17" s="5"/>
      <c r="Y17" s="153"/>
      <c r="Z17" s="1"/>
      <c r="AA17" s="1"/>
    </row>
    <row r="18" spans="1:27" ht="15" customHeight="1">
      <c r="A18" s="3"/>
      <c r="B18" s="144"/>
      <c r="C18" s="1"/>
      <c r="D18" s="9"/>
      <c r="E18" s="7"/>
      <c r="F18" s="7"/>
      <c r="G18" s="7"/>
      <c r="H18" s="155"/>
      <c r="I18" s="408">
        <f>I16*1.196</f>
        <v>0</v>
      </c>
      <c r="J18" s="440"/>
      <c r="K18" s="440"/>
      <c r="L18" s="441"/>
      <c r="M18" s="113" t="s">
        <v>250</v>
      </c>
      <c r="N18" s="408">
        <f>N16*1.196</f>
        <v>0</v>
      </c>
      <c r="O18" s="440"/>
      <c r="P18" s="440"/>
      <c r="Q18" s="441"/>
      <c r="R18" s="3" t="s">
        <v>521</v>
      </c>
      <c r="S18" s="7"/>
      <c r="T18" s="7"/>
      <c r="U18" s="7"/>
      <c r="V18" s="3"/>
      <c r="W18" s="3"/>
      <c r="X18" s="5"/>
      <c r="Y18" s="153"/>
      <c r="Z18" s="1"/>
      <c r="AA18" s="1"/>
    </row>
    <row r="19" spans="1:27" ht="4.5" customHeight="1">
      <c r="A19" s="3"/>
      <c r="B19" s="3"/>
      <c r="C19" s="159" t="s">
        <v>82</v>
      </c>
      <c r="D19" s="159" t="s">
        <v>82</v>
      </c>
      <c r="E19" s="159" t="s">
        <v>82</v>
      </c>
      <c r="F19" s="3"/>
      <c r="G19" s="3"/>
      <c r="H19" s="12"/>
      <c r="I19" s="3"/>
      <c r="J19" s="3"/>
      <c r="K19" s="144"/>
      <c r="L19" s="144"/>
      <c r="M19" s="144"/>
      <c r="N19" s="144"/>
      <c r="O19" s="144"/>
      <c r="P19" s="3"/>
      <c r="Q19" s="144"/>
      <c r="R19" s="144"/>
      <c r="S19" s="144"/>
      <c r="T19" s="144"/>
      <c r="U19" s="144"/>
      <c r="V19" s="144"/>
      <c r="W19" s="3"/>
      <c r="X19" s="5"/>
      <c r="Y19" s="144"/>
      <c r="Z19" s="1"/>
      <c r="AA19" s="1"/>
    </row>
    <row r="20" spans="1:27" ht="4.5" customHeight="1">
      <c r="A20" s="3"/>
      <c r="B20" s="3"/>
      <c r="C20" s="5" t="s">
        <v>236</v>
      </c>
      <c r="D20" s="5" t="s">
        <v>236</v>
      </c>
      <c r="E20" s="5" t="s">
        <v>236</v>
      </c>
      <c r="F20" s="3"/>
      <c r="G20" s="3"/>
      <c r="H20" s="3"/>
      <c r="I20" s="3"/>
      <c r="J20" s="3"/>
      <c r="K20" s="7"/>
      <c r="L20" s="7"/>
      <c r="M20" s="7"/>
      <c r="N20" s="7"/>
      <c r="O20" s="7"/>
      <c r="P20" s="3"/>
      <c r="Q20" s="144"/>
      <c r="R20" s="144"/>
      <c r="S20" s="144"/>
      <c r="T20" s="144"/>
      <c r="U20" s="144"/>
      <c r="V20" s="144"/>
      <c r="W20" s="3"/>
      <c r="X20" s="5"/>
      <c r="Y20" s="144"/>
      <c r="Z20" s="1"/>
      <c r="AA20" s="1"/>
    </row>
    <row r="21" spans="1:27" ht="4.5" customHeight="1">
      <c r="A21" s="3"/>
      <c r="B21" s="3"/>
      <c r="C21" s="5" t="s">
        <v>239</v>
      </c>
      <c r="D21" s="5" t="s">
        <v>239</v>
      </c>
      <c r="E21" s="5" t="s">
        <v>239</v>
      </c>
      <c r="F21" s="3"/>
      <c r="G21" s="3"/>
      <c r="H21" s="3"/>
      <c r="I21" s="3"/>
      <c r="J21" s="3"/>
      <c r="K21" s="7"/>
      <c r="L21" s="98"/>
      <c r="M21" s="446"/>
      <c r="N21" s="447"/>
      <c r="O21" s="7"/>
      <c r="P21" s="3"/>
      <c r="Q21" s="144"/>
      <c r="R21" s="144"/>
      <c r="S21" s="144"/>
      <c r="T21" s="144"/>
      <c r="U21" s="144"/>
      <c r="V21" s="144"/>
      <c r="W21" s="3"/>
      <c r="X21" s="5"/>
      <c r="Y21" s="144"/>
      <c r="Z21" s="1"/>
      <c r="AA21" s="1"/>
    </row>
    <row r="22" spans="1:27" ht="4.5" customHeight="1">
      <c r="A22" s="3"/>
      <c r="B22" s="3"/>
      <c r="C22" s="5" t="s">
        <v>237</v>
      </c>
      <c r="D22" s="5" t="s">
        <v>237</v>
      </c>
      <c r="E22" s="5" t="s">
        <v>237</v>
      </c>
      <c r="F22" s="3"/>
      <c r="G22" s="3"/>
      <c r="H22" s="3"/>
      <c r="I22" s="3"/>
      <c r="J22" s="3"/>
      <c r="K22" s="3"/>
      <c r="L22" s="3"/>
      <c r="M22" s="3"/>
      <c r="N22" s="3"/>
      <c r="O22" s="3"/>
      <c r="P22" s="3"/>
      <c r="Q22" s="144"/>
      <c r="R22" s="144"/>
      <c r="S22" s="144"/>
      <c r="T22" s="144"/>
      <c r="U22" s="144"/>
      <c r="V22" s="144"/>
      <c r="W22" s="3"/>
      <c r="X22" s="5"/>
      <c r="Y22" s="144"/>
      <c r="Z22" s="1"/>
      <c r="AA22" s="1"/>
    </row>
    <row r="23" spans="1:27" ht="4.5" customHeight="1">
      <c r="A23" s="3"/>
      <c r="B23" s="3"/>
      <c r="C23" s="5" t="s">
        <v>238</v>
      </c>
      <c r="D23" s="5" t="s">
        <v>238</v>
      </c>
      <c r="E23" s="5" t="s">
        <v>238</v>
      </c>
      <c r="F23" s="3"/>
      <c r="G23" s="3"/>
      <c r="H23" s="3"/>
      <c r="I23" s="3"/>
      <c r="J23" s="3"/>
      <c r="K23" s="144"/>
      <c r="L23" s="144"/>
      <c r="M23" s="144"/>
      <c r="N23" s="144"/>
      <c r="O23" s="144"/>
      <c r="P23" s="144"/>
      <c r="Q23" s="144"/>
      <c r="R23" s="144"/>
      <c r="S23" s="144"/>
      <c r="T23" s="144"/>
      <c r="U23" s="144"/>
      <c r="V23" s="144"/>
      <c r="W23" s="3"/>
      <c r="X23" s="5"/>
      <c r="Y23" s="144"/>
      <c r="Z23" s="1"/>
      <c r="AA23" s="1"/>
    </row>
    <row r="24" spans="1:27" ht="4.5" customHeight="1">
      <c r="A24" s="3"/>
      <c r="B24" s="3" t="s">
        <v>256</v>
      </c>
      <c r="C24" s="5"/>
      <c r="D24" s="5"/>
      <c r="E24" s="5"/>
      <c r="F24" s="3"/>
      <c r="G24" s="3"/>
      <c r="H24" s="3"/>
      <c r="I24" s="3"/>
      <c r="J24" s="3"/>
      <c r="K24" s="144"/>
      <c r="L24" s="144"/>
      <c r="M24" s="144"/>
      <c r="N24" s="144"/>
      <c r="O24" s="144"/>
      <c r="P24" s="144"/>
      <c r="Q24" s="144"/>
      <c r="R24" s="144"/>
      <c r="S24" s="144"/>
      <c r="T24" s="144"/>
      <c r="U24" s="144"/>
      <c r="V24" s="144"/>
      <c r="W24" s="3"/>
      <c r="X24" s="5"/>
      <c r="Y24" s="144"/>
      <c r="Z24" s="1"/>
      <c r="AA24" s="1"/>
    </row>
    <row r="25" spans="1:27" ht="9.75" customHeight="1">
      <c r="A25" s="3"/>
      <c r="B25" s="7"/>
      <c r="C25" s="11"/>
      <c r="D25" s="11"/>
      <c r="E25" s="7"/>
      <c r="F25" s="7"/>
      <c r="G25" s="7"/>
      <c r="H25" s="7"/>
      <c r="I25" s="7"/>
      <c r="J25" s="7"/>
      <c r="K25" s="7"/>
      <c r="L25" s="7"/>
      <c r="M25" s="7"/>
      <c r="N25" s="7"/>
      <c r="O25" s="7"/>
      <c r="P25" s="7"/>
      <c r="Q25" s="7"/>
      <c r="R25" s="98"/>
      <c r="S25" s="101"/>
      <c r="T25" s="101"/>
      <c r="U25" s="7"/>
      <c r="V25" s="7"/>
      <c r="W25" s="3"/>
      <c r="X25" s="3"/>
      <c r="Y25" s="144"/>
      <c r="Z25" s="1"/>
      <c r="AA25" s="1"/>
    </row>
    <row r="26" spans="1:27" ht="15">
      <c r="A26" s="144"/>
      <c r="B26" s="3"/>
      <c r="C26" s="143" t="s">
        <v>323</v>
      </c>
      <c r="D26" s="3"/>
      <c r="E26" s="3"/>
      <c r="F26" s="3"/>
      <c r="G26" s="3"/>
      <c r="H26" s="3"/>
      <c r="I26" s="3"/>
      <c r="J26" s="3"/>
      <c r="K26" s="3"/>
      <c r="L26" s="3"/>
      <c r="M26" s="177" t="s">
        <v>295</v>
      </c>
      <c r="N26" s="3"/>
      <c r="O26" s="3"/>
      <c r="P26" s="6"/>
      <c r="Q26" s="3"/>
      <c r="R26" s="3"/>
      <c r="S26" s="3"/>
      <c r="T26" s="3"/>
      <c r="U26" s="3"/>
      <c r="V26" s="3"/>
      <c r="W26" s="3"/>
      <c r="X26" s="5"/>
      <c r="Y26" s="161"/>
      <c r="Z26" s="1"/>
      <c r="AA26" s="1"/>
    </row>
    <row r="27" spans="1:27" ht="4.5" customHeight="1">
      <c r="A27" s="144"/>
      <c r="B27" s="3"/>
      <c r="C27" s="54"/>
      <c r="D27" s="3"/>
      <c r="E27" s="3"/>
      <c r="F27" s="3"/>
      <c r="G27" s="3"/>
      <c r="H27" s="3"/>
      <c r="I27" s="3"/>
      <c r="J27" s="3"/>
      <c r="K27" s="3"/>
      <c r="L27" s="3"/>
      <c r="M27" s="3"/>
      <c r="N27" s="3"/>
      <c r="O27" s="3"/>
      <c r="P27" s="6"/>
      <c r="Q27" s="3"/>
      <c r="R27" s="3"/>
      <c r="S27" s="3"/>
      <c r="T27" s="3"/>
      <c r="U27" s="3"/>
      <c r="V27" s="3"/>
      <c r="W27" s="3"/>
      <c r="X27" s="5"/>
      <c r="Y27" s="161"/>
      <c r="Z27" s="1"/>
      <c r="AA27" s="1"/>
    </row>
    <row r="28" spans="1:27" ht="14.25">
      <c r="A28" s="50"/>
      <c r="B28" s="3"/>
      <c r="C28" s="52"/>
      <c r="D28" s="52"/>
      <c r="E28" s="3"/>
      <c r="F28" s="3"/>
      <c r="G28" s="3"/>
      <c r="H28" s="51" t="b">
        <v>1</v>
      </c>
      <c r="I28" s="3"/>
      <c r="J28" s="3"/>
      <c r="K28" s="3"/>
      <c r="L28" s="3"/>
      <c r="M28" s="3"/>
      <c r="N28" s="51" t="b">
        <v>0</v>
      </c>
      <c r="O28" s="3"/>
      <c r="P28" s="6"/>
      <c r="Q28" s="3"/>
      <c r="R28" s="3"/>
      <c r="S28" s="3"/>
      <c r="T28" s="51" t="b">
        <v>0</v>
      </c>
      <c r="U28" s="3"/>
      <c r="V28" s="3"/>
      <c r="W28" s="3"/>
      <c r="X28" s="5"/>
      <c r="Y28" s="161"/>
      <c r="Z28" s="1"/>
      <c r="AA28" s="1"/>
    </row>
    <row r="29" spans="1:27" ht="12.75">
      <c r="A29" s="50"/>
      <c r="B29" s="3"/>
      <c r="C29" s="428" t="s">
        <v>141</v>
      </c>
      <c r="D29" s="428"/>
      <c r="E29" s="130">
        <f>IF(OR(G10=5,Isolation!H57=TRUE),1,"")</f>
      </c>
      <c r="F29" s="3"/>
      <c r="G29" s="3"/>
      <c r="H29" s="271">
        <f>IF(AND(E29=1,H30=TRUE),"Erreur 1","")</f>
      </c>
      <c r="I29" s="3"/>
      <c r="J29" s="268"/>
      <c r="K29" s="273">
        <f>IF(OR(M10=5,Isolation!N57=TRUE),1,"")</f>
      </c>
      <c r="L29" s="3"/>
      <c r="M29" s="3"/>
      <c r="N29" s="271">
        <f>IF(AND(K29=1,N30=TRUE),"Erreur 1","")</f>
      </c>
      <c r="O29" s="3"/>
      <c r="P29" s="269"/>
      <c r="Q29" s="130">
        <f>IF(OR(S10=5,Isolation!T57=TRUE),1,"")</f>
      </c>
      <c r="R29" s="3"/>
      <c r="S29" s="3"/>
      <c r="T29" s="271">
        <f>IF(AND(Q29=1,T30=TRUE),"Erreur 1","")</f>
      </c>
      <c r="U29" s="3"/>
      <c r="V29" s="3"/>
      <c r="W29" s="3"/>
      <c r="X29" s="5"/>
      <c r="Y29" s="100"/>
      <c r="Z29" s="1"/>
      <c r="AA29" s="1"/>
    </row>
    <row r="30" spans="1:27" ht="9.75" customHeight="1">
      <c r="A30" s="50"/>
      <c r="B30" s="3"/>
      <c r="C30" s="52"/>
      <c r="D30" s="52"/>
      <c r="E30" s="5"/>
      <c r="F30" s="3"/>
      <c r="G30" s="3"/>
      <c r="H30" s="390" t="b">
        <v>0</v>
      </c>
      <c r="I30" s="3"/>
      <c r="J30" s="268"/>
      <c r="K30" s="51"/>
      <c r="L30" s="3"/>
      <c r="M30" s="3"/>
      <c r="N30" s="390" t="b">
        <v>0</v>
      </c>
      <c r="O30" s="3"/>
      <c r="P30" s="269"/>
      <c r="Q30" s="5"/>
      <c r="R30" s="3"/>
      <c r="S30" s="3"/>
      <c r="T30" s="390" t="b">
        <v>0</v>
      </c>
      <c r="U30" s="3"/>
      <c r="V30" s="3"/>
      <c r="W30" s="3"/>
      <c r="X30" s="5"/>
      <c r="Y30" s="161"/>
      <c r="Z30" s="1"/>
      <c r="AA30" s="1"/>
    </row>
    <row r="31" spans="1:27" ht="12.75">
      <c r="A31" s="50"/>
      <c r="B31" s="3"/>
      <c r="C31" s="428" t="s">
        <v>252</v>
      </c>
      <c r="D31" s="428"/>
      <c r="E31" s="145">
        <f>IF(OR(G10=2,G10=5),1,"")</f>
      </c>
      <c r="F31" s="3"/>
      <c r="G31" s="3"/>
      <c r="H31" s="271">
        <f>IF(AND(I32=2,H32=TRUE),"Erreur 2","")</f>
      </c>
      <c r="I31" s="1"/>
      <c r="J31" s="268"/>
      <c r="K31" s="51">
        <f>IF(OR(M10=2,M10=5),1,"")</f>
      </c>
      <c r="L31" s="3"/>
      <c r="M31" s="3"/>
      <c r="N31" s="271">
        <f>IF(AND(O32=2,N32=TRUE),"Erreur 2","")</f>
      </c>
      <c r="O31" s="272"/>
      <c r="P31" s="267"/>
      <c r="Q31" s="5">
        <f>IF(OR(S10=2,S10=5),1,"")</f>
      </c>
      <c r="R31" s="3"/>
      <c r="S31" s="3"/>
      <c r="T31" s="271">
        <f>IF(AND(U32=2,T32=TRUE),"Erreur 2","")</f>
      </c>
      <c r="U31" s="1"/>
      <c r="V31" s="144"/>
      <c r="W31" s="3"/>
      <c r="X31" s="5"/>
      <c r="Y31" s="161"/>
      <c r="Z31" s="1"/>
      <c r="AA31" s="1"/>
    </row>
    <row r="32" spans="1:27" ht="9.75" customHeight="1">
      <c r="A32" s="144"/>
      <c r="B32" s="3"/>
      <c r="C32" s="54"/>
      <c r="D32" s="3"/>
      <c r="E32" s="267"/>
      <c r="F32" s="3"/>
      <c r="G32" s="3"/>
      <c r="H32" s="357" t="b">
        <v>0</v>
      </c>
      <c r="I32" s="274">
        <f>IF(OR(E31=1,Dimensions!G10=5),2,"")</f>
      </c>
      <c r="J32" s="268"/>
      <c r="K32" s="268"/>
      <c r="L32" s="3"/>
      <c r="M32" s="3"/>
      <c r="N32" s="357" t="b">
        <v>0</v>
      </c>
      <c r="O32" s="274">
        <f>IF(OR(K31=1,Dimensions!M10=5),2,"")</f>
      </c>
      <c r="P32" s="269"/>
      <c r="Q32" s="267"/>
      <c r="R32" s="3"/>
      <c r="S32" s="3"/>
      <c r="T32" s="357" t="b">
        <v>0</v>
      </c>
      <c r="U32" s="274">
        <f>IF(OR(Q31=1,Dimensions!S10=5),2,"")</f>
      </c>
      <c r="V32" s="3"/>
      <c r="W32" s="3"/>
      <c r="X32" s="5"/>
      <c r="Y32" s="144"/>
      <c r="Z32" s="1"/>
      <c r="AA32" s="1"/>
    </row>
    <row r="33" spans="1:27" ht="12.75">
      <c r="A33" s="50"/>
      <c r="B33" s="3"/>
      <c r="C33" s="428" t="s">
        <v>240</v>
      </c>
      <c r="D33" s="428"/>
      <c r="E33" s="267"/>
      <c r="F33" s="3"/>
      <c r="G33" s="3"/>
      <c r="H33" s="271">
        <f>IF(AND(G10=5,H34=TRUE),"Erreur 3","")</f>
      </c>
      <c r="I33" s="3"/>
      <c r="J33" s="268"/>
      <c r="K33" s="268"/>
      <c r="L33" s="3"/>
      <c r="M33" s="3"/>
      <c r="N33" s="271">
        <f>IF(AND(M10=5,N34=TRUE),"Erreur 3","")</f>
      </c>
      <c r="O33" s="3"/>
      <c r="P33" s="269"/>
      <c r="Q33" s="267"/>
      <c r="R33" s="3"/>
      <c r="S33" s="3"/>
      <c r="T33" s="271">
        <f>IF(AND(S10=5,T34=TRUE),"Erreur 3","")</f>
      </c>
      <c r="U33" s="3"/>
      <c r="V33" s="3"/>
      <c r="W33" s="3"/>
      <c r="X33" s="5"/>
      <c r="Y33" s="144"/>
      <c r="Z33" s="1"/>
      <c r="AA33" s="1"/>
    </row>
    <row r="34" spans="1:27" ht="12.75">
      <c r="A34" s="144"/>
      <c r="B34" s="3"/>
      <c r="C34" s="54"/>
      <c r="D34" s="3"/>
      <c r="E34" s="267"/>
      <c r="F34" s="3"/>
      <c r="G34" s="3"/>
      <c r="H34" s="357" t="b">
        <v>0</v>
      </c>
      <c r="I34" s="3"/>
      <c r="J34" s="268"/>
      <c r="K34" s="268"/>
      <c r="L34" s="3"/>
      <c r="M34" s="3"/>
      <c r="N34" s="357" t="b">
        <v>0</v>
      </c>
      <c r="O34" s="3"/>
      <c r="P34" s="269"/>
      <c r="Q34" s="267"/>
      <c r="R34" s="3"/>
      <c r="S34" s="3"/>
      <c r="T34" s="357" t="b">
        <v>0</v>
      </c>
      <c r="U34" s="3"/>
      <c r="V34" s="3"/>
      <c r="W34" s="3"/>
      <c r="X34" s="5"/>
      <c r="Y34" s="161"/>
      <c r="Z34" s="1"/>
      <c r="AA34" s="1"/>
    </row>
    <row r="35" spans="1:27" ht="15.75" customHeight="1">
      <c r="A35" s="50"/>
      <c r="B35" s="3"/>
      <c r="C35" s="157" t="s">
        <v>292</v>
      </c>
      <c r="D35" s="144"/>
      <c r="E35" s="144"/>
      <c r="F35" s="144"/>
      <c r="G35" s="144"/>
      <c r="H35" s="3"/>
      <c r="I35" s="3"/>
      <c r="J35" s="3"/>
      <c r="K35" s="3"/>
      <c r="L35" s="144"/>
      <c r="M35" s="144"/>
      <c r="N35" s="3"/>
      <c r="O35" s="3"/>
      <c r="P35" s="3"/>
      <c r="Q35" s="3"/>
      <c r="R35" s="144"/>
      <c r="S35" s="144"/>
      <c r="T35" s="144"/>
      <c r="U35" s="144"/>
      <c r="V35" s="144"/>
      <c r="W35" s="3"/>
      <c r="X35" s="5"/>
      <c r="Y35" s="161"/>
      <c r="Z35" s="1"/>
      <c r="AA35" s="1"/>
    </row>
    <row r="36" spans="1:27" ht="4.5" customHeight="1">
      <c r="A36" s="50"/>
      <c r="B36" s="3"/>
      <c r="C36" s="157"/>
      <c r="D36" s="144"/>
      <c r="E36" s="144"/>
      <c r="F36" s="144"/>
      <c r="G36" s="144"/>
      <c r="H36" s="144"/>
      <c r="I36" s="144"/>
      <c r="J36" s="144"/>
      <c r="K36" s="144"/>
      <c r="L36" s="144"/>
      <c r="M36" s="144"/>
      <c r="N36" s="3"/>
      <c r="O36" s="3"/>
      <c r="P36" s="3"/>
      <c r="Q36" s="3"/>
      <c r="R36" s="144"/>
      <c r="S36" s="144"/>
      <c r="T36" s="144"/>
      <c r="U36" s="144"/>
      <c r="V36" s="144"/>
      <c r="W36" s="3"/>
      <c r="X36" s="5"/>
      <c r="Y36" s="161"/>
      <c r="Z36" s="1"/>
      <c r="AA36" s="1"/>
    </row>
    <row r="37" spans="1:27" ht="12.75">
      <c r="A37" s="3"/>
      <c r="B37" s="3"/>
      <c r="C37" s="131" t="s">
        <v>293</v>
      </c>
      <c r="D37" s="56"/>
      <c r="E37" s="3"/>
      <c r="F37" s="122"/>
      <c r="G37" s="3"/>
      <c r="H37" s="3"/>
      <c r="I37" s="3"/>
      <c r="J37" s="3"/>
      <c r="K37" s="3"/>
      <c r="L37" s="3"/>
      <c r="M37" s="3"/>
      <c r="N37" s="3"/>
      <c r="O37" s="3"/>
      <c r="P37" s="6"/>
      <c r="Q37" s="3"/>
      <c r="R37" s="3"/>
      <c r="S37" s="3"/>
      <c r="T37" s="3"/>
      <c r="U37" s="3"/>
      <c r="V37" s="3"/>
      <c r="W37" s="3"/>
      <c r="X37" s="5"/>
      <c r="Y37" s="144"/>
      <c r="Z37" s="1"/>
      <c r="AA37" s="1"/>
    </row>
    <row r="38" spans="1:27" ht="12.75">
      <c r="A38" s="3"/>
      <c r="B38" s="3"/>
      <c r="C38" s="131" t="s">
        <v>470</v>
      </c>
      <c r="D38" s="56"/>
      <c r="E38" s="3"/>
      <c r="F38" s="122"/>
      <c r="G38" s="3"/>
      <c r="H38" s="3"/>
      <c r="I38" s="3"/>
      <c r="J38" s="3"/>
      <c r="K38" s="3"/>
      <c r="L38" s="3"/>
      <c r="M38" s="3"/>
      <c r="N38" s="3"/>
      <c r="O38" s="3"/>
      <c r="P38" s="6"/>
      <c r="Q38" s="3"/>
      <c r="R38" s="3"/>
      <c r="S38" s="3"/>
      <c r="T38" s="3"/>
      <c r="U38" s="3"/>
      <c r="V38" s="3"/>
      <c r="W38" s="3"/>
      <c r="X38" s="5"/>
      <c r="Y38" s="144"/>
      <c r="Z38" s="1"/>
      <c r="AA38" s="1"/>
    </row>
    <row r="39" spans="1:27" ht="12.75">
      <c r="A39" s="3"/>
      <c r="B39" s="3"/>
      <c r="C39" s="131" t="s">
        <v>294</v>
      </c>
      <c r="D39" s="56"/>
      <c r="E39" s="3"/>
      <c r="F39" s="122"/>
      <c r="G39" s="3"/>
      <c r="H39" s="3"/>
      <c r="I39" s="3"/>
      <c r="J39" s="3"/>
      <c r="K39" s="3"/>
      <c r="L39" s="3"/>
      <c r="M39" s="3"/>
      <c r="N39" s="3"/>
      <c r="O39" s="3"/>
      <c r="P39" s="6"/>
      <c r="Q39" s="3"/>
      <c r="R39" s="3"/>
      <c r="S39" s="3"/>
      <c r="T39" s="3"/>
      <c r="U39" s="3"/>
      <c r="V39" s="3"/>
      <c r="W39" s="3"/>
      <c r="X39" s="5"/>
      <c r="Y39" s="144"/>
      <c r="Z39" s="1"/>
      <c r="AA39" s="1"/>
    </row>
    <row r="40" spans="1:27" ht="12.75">
      <c r="A40" s="3"/>
      <c r="B40" s="3" t="s">
        <v>256</v>
      </c>
      <c r="C40" s="3"/>
      <c r="D40" s="56"/>
      <c r="E40" s="3"/>
      <c r="F40" s="3"/>
      <c r="G40" s="3"/>
      <c r="H40" s="3"/>
      <c r="I40" s="3"/>
      <c r="J40" s="3"/>
      <c r="K40" s="3"/>
      <c r="L40" s="3"/>
      <c r="M40" s="3"/>
      <c r="N40" s="3"/>
      <c r="O40" s="3"/>
      <c r="P40" s="6"/>
      <c r="Q40" s="3"/>
      <c r="R40" s="3"/>
      <c r="S40" s="3"/>
      <c r="T40" s="3"/>
      <c r="U40" s="3"/>
      <c r="V40" s="3"/>
      <c r="W40" s="3"/>
      <c r="X40" s="5"/>
      <c r="Y40" s="144"/>
      <c r="Z40" s="1"/>
      <c r="AA40" s="1"/>
    </row>
    <row r="41" spans="1:27" ht="12.75">
      <c r="A41" s="3"/>
      <c r="B41" s="3"/>
      <c r="C41" s="3"/>
      <c r="D41" s="56"/>
      <c r="E41" s="3"/>
      <c r="F41" s="3"/>
      <c r="G41" s="3"/>
      <c r="H41" s="3"/>
      <c r="I41" s="3"/>
      <c r="J41" s="3"/>
      <c r="K41" s="3"/>
      <c r="L41" s="3"/>
      <c r="M41" s="3"/>
      <c r="N41" s="3"/>
      <c r="O41" s="3"/>
      <c r="P41" s="6"/>
      <c r="Q41" s="3"/>
      <c r="R41" s="3"/>
      <c r="S41" s="3"/>
      <c r="T41" s="3"/>
      <c r="U41" s="3"/>
      <c r="V41" s="3"/>
      <c r="W41" s="3"/>
      <c r="X41" s="5"/>
      <c r="Y41" s="144"/>
      <c r="Z41" s="1"/>
      <c r="AA41" s="1"/>
    </row>
    <row r="42" spans="1:27" ht="15" customHeight="1">
      <c r="A42" s="3"/>
      <c r="B42" s="1"/>
      <c r="C42" s="392" t="s">
        <v>527</v>
      </c>
      <c r="D42" s="3"/>
      <c r="E42" s="3"/>
      <c r="F42" s="3"/>
      <c r="G42" s="3"/>
      <c r="H42" s="14"/>
      <c r="I42" s="3"/>
      <c r="J42" s="3"/>
      <c r="K42" s="3"/>
      <c r="L42" s="14"/>
      <c r="M42" s="3"/>
      <c r="N42" s="14"/>
      <c r="O42" s="3"/>
      <c r="P42" s="3"/>
      <c r="Q42" s="3"/>
      <c r="R42" s="144"/>
      <c r="S42" s="15"/>
      <c r="T42" s="15"/>
      <c r="U42" s="144"/>
      <c r="V42" s="144"/>
      <c r="W42" s="3"/>
      <c r="X42" s="3"/>
      <c r="Y42" s="144"/>
      <c r="Z42" s="1"/>
      <c r="AA42" s="1"/>
    </row>
    <row r="43" spans="1:27" ht="12.75">
      <c r="A43" s="3"/>
      <c r="B43" s="3"/>
      <c r="C43" s="3" t="s">
        <v>526</v>
      </c>
      <c r="D43" s="13"/>
      <c r="E43" s="3"/>
      <c r="F43" s="3"/>
      <c r="G43" s="3"/>
      <c r="H43" s="14"/>
      <c r="I43" s="3"/>
      <c r="J43" s="3"/>
      <c r="K43" s="3"/>
      <c r="L43" s="14"/>
      <c r="M43" s="3"/>
      <c r="N43" s="14"/>
      <c r="O43" s="3"/>
      <c r="P43" s="3"/>
      <c r="Q43" s="3"/>
      <c r="R43" s="144"/>
      <c r="S43" s="15"/>
      <c r="T43" s="15"/>
      <c r="U43" s="144"/>
      <c r="V43" s="144"/>
      <c r="W43" s="3"/>
      <c r="X43" s="3"/>
      <c r="Y43" s="144"/>
      <c r="Z43" s="1"/>
      <c r="AA43" s="1"/>
    </row>
    <row r="44" spans="1:27" ht="12.75">
      <c r="A44" s="3"/>
      <c r="B44" s="3"/>
      <c r="C44" s="3" t="s">
        <v>563</v>
      </c>
      <c r="D44" s="3"/>
      <c r="E44" s="3"/>
      <c r="F44" s="3"/>
      <c r="G44" s="3"/>
      <c r="H44" s="14"/>
      <c r="I44" s="3"/>
      <c r="J44" s="3"/>
      <c r="K44" s="3"/>
      <c r="L44" s="14"/>
      <c r="M44" s="3"/>
      <c r="N44" s="14"/>
      <c r="O44" s="3"/>
      <c r="P44" s="3"/>
      <c r="Q44" s="3"/>
      <c r="R44" s="144"/>
      <c r="S44" s="15"/>
      <c r="T44" s="15"/>
      <c r="U44" s="144"/>
      <c r="V44" s="144"/>
      <c r="W44" s="3"/>
      <c r="X44" s="3"/>
      <c r="Y44" s="144"/>
      <c r="Z44" s="1"/>
      <c r="AA44" s="1"/>
    </row>
    <row r="45" spans="1:27" ht="12.75">
      <c r="A45" s="3"/>
      <c r="B45" s="3"/>
      <c r="C45" s="3" t="s">
        <v>562</v>
      </c>
      <c r="D45" s="3"/>
      <c r="E45" s="3"/>
      <c r="F45" s="3"/>
      <c r="G45" s="3"/>
      <c r="H45" s="14"/>
      <c r="I45" s="3"/>
      <c r="J45" s="3"/>
      <c r="K45" s="3"/>
      <c r="L45" s="14"/>
      <c r="M45" s="3"/>
      <c r="N45" s="14"/>
      <c r="O45" s="3"/>
      <c r="P45" s="3"/>
      <c r="Q45" s="3"/>
      <c r="R45" s="144"/>
      <c r="S45" s="15"/>
      <c r="T45" s="15"/>
      <c r="U45" s="144"/>
      <c r="V45" s="144"/>
      <c r="W45" s="3"/>
      <c r="X45" s="3"/>
      <c r="Y45" s="154"/>
      <c r="Z45" s="1"/>
      <c r="AA45" s="1"/>
    </row>
    <row r="46" spans="1:27" ht="7.5" customHeight="1">
      <c r="A46" s="3"/>
      <c r="B46" s="3"/>
      <c r="C46" s="1"/>
      <c r="D46" s="3"/>
      <c r="E46" s="3"/>
      <c r="F46" s="3"/>
      <c r="G46" s="3"/>
      <c r="H46" s="14"/>
      <c r="I46" s="3"/>
      <c r="J46" s="3"/>
      <c r="K46" s="3"/>
      <c r="L46" s="14"/>
      <c r="M46" s="3"/>
      <c r="N46" s="14"/>
      <c r="O46" s="3"/>
      <c r="P46" s="3"/>
      <c r="Q46" s="3"/>
      <c r="R46" s="1"/>
      <c r="S46" s="15"/>
      <c r="T46" s="15"/>
      <c r="U46" s="1"/>
      <c r="V46" s="1"/>
      <c r="W46" s="3"/>
      <c r="X46" s="3"/>
      <c r="Y46" s="1"/>
      <c r="Z46" s="1"/>
      <c r="AA46" s="1"/>
    </row>
    <row r="47" spans="1:27" ht="12.75">
      <c r="A47" s="3"/>
      <c r="B47" s="3"/>
      <c r="C47" s="275" t="s">
        <v>528</v>
      </c>
      <c r="D47" s="3"/>
      <c r="E47" s="3"/>
      <c r="F47" s="3"/>
      <c r="G47" s="3"/>
      <c r="H47" s="14"/>
      <c r="I47" s="3"/>
      <c r="J47" s="3"/>
      <c r="K47" s="3"/>
      <c r="L47" s="14"/>
      <c r="M47" s="3"/>
      <c r="N47" s="14"/>
      <c r="O47" s="3"/>
      <c r="P47" s="3"/>
      <c r="Q47" s="3"/>
      <c r="R47" s="1"/>
      <c r="S47" s="15"/>
      <c r="T47" s="15"/>
      <c r="U47" s="1"/>
      <c r="V47" s="1"/>
      <c r="W47" s="3"/>
      <c r="X47" s="3"/>
      <c r="Y47" s="1"/>
      <c r="Z47" s="1"/>
      <c r="AA47" s="1"/>
    </row>
    <row r="48" spans="1:27" ht="12.75">
      <c r="A48" s="3"/>
      <c r="B48" s="3"/>
      <c r="C48" s="1"/>
      <c r="D48" s="3"/>
      <c r="E48" s="3"/>
      <c r="F48" s="3"/>
      <c r="G48" s="3"/>
      <c r="H48" s="14"/>
      <c r="I48" s="3"/>
      <c r="J48" s="3"/>
      <c r="K48" s="3"/>
      <c r="L48" s="14"/>
      <c r="M48" s="3"/>
      <c r="N48" s="14"/>
      <c r="O48" s="3"/>
      <c r="P48" s="3"/>
      <c r="Q48" s="3"/>
      <c r="R48" s="1"/>
      <c r="S48" s="15"/>
      <c r="T48" s="15"/>
      <c r="U48" s="1"/>
      <c r="V48" s="1"/>
      <c r="W48" s="3"/>
      <c r="X48" s="3"/>
      <c r="Y48" s="1"/>
      <c r="Z48" s="1"/>
      <c r="AA48" s="1"/>
    </row>
    <row r="49" spans="1:27" ht="12.75">
      <c r="A49" s="3"/>
      <c r="B49" s="3"/>
      <c r="C49" s="3"/>
      <c r="D49" s="3"/>
      <c r="E49" s="3"/>
      <c r="F49" s="3"/>
      <c r="G49" s="3"/>
      <c r="H49" s="14"/>
      <c r="I49" s="3"/>
      <c r="J49" s="3"/>
      <c r="K49" s="3"/>
      <c r="L49" s="14"/>
      <c r="M49" s="3"/>
      <c r="N49" s="14"/>
      <c r="O49" s="3"/>
      <c r="P49" s="3"/>
      <c r="Q49" s="3"/>
      <c r="R49" s="1"/>
      <c r="S49" s="15"/>
      <c r="T49" s="15"/>
      <c r="U49" s="1"/>
      <c r="V49" s="1"/>
      <c r="W49" s="3"/>
      <c r="X49" s="3"/>
      <c r="Y49" s="1"/>
      <c r="Z49" s="1"/>
      <c r="AA49" s="1"/>
    </row>
    <row r="50" spans="1:27" ht="12.75">
      <c r="A50" s="3"/>
      <c r="B50" s="3"/>
      <c r="C50" s="1"/>
      <c r="D50" s="3"/>
      <c r="E50" s="3"/>
      <c r="F50" s="3"/>
      <c r="G50" s="3"/>
      <c r="H50" s="14"/>
      <c r="I50" s="3"/>
      <c r="J50" s="3"/>
      <c r="K50" s="3"/>
      <c r="L50" s="14"/>
      <c r="M50" s="3"/>
      <c r="N50" s="14"/>
      <c r="O50" s="3"/>
      <c r="P50" s="3"/>
      <c r="Q50" s="3"/>
      <c r="R50" s="1"/>
      <c r="S50" s="15"/>
      <c r="T50" s="15"/>
      <c r="U50" s="1"/>
      <c r="V50" s="1"/>
      <c r="W50" s="3"/>
      <c r="X50" s="3"/>
      <c r="Y50" s="1"/>
      <c r="Z50" s="1"/>
      <c r="AA50" s="1"/>
    </row>
    <row r="51" spans="1:27" ht="12.75">
      <c r="A51" s="3"/>
      <c r="B51" s="3"/>
      <c r="C51" s="3"/>
      <c r="D51" s="3"/>
      <c r="E51" s="3"/>
      <c r="F51" s="3"/>
      <c r="G51" s="3"/>
      <c r="H51" s="14"/>
      <c r="I51" s="3"/>
      <c r="J51" s="3"/>
      <c r="K51" s="3"/>
      <c r="L51" s="14"/>
      <c r="M51" s="3"/>
      <c r="N51" s="14"/>
      <c r="O51" s="3"/>
      <c r="P51" s="3"/>
      <c r="Q51" s="3"/>
      <c r="R51" s="1"/>
      <c r="S51" s="15"/>
      <c r="T51" s="15"/>
      <c r="U51" s="1"/>
      <c r="V51" s="1"/>
      <c r="W51" s="3"/>
      <c r="X51" s="3"/>
      <c r="Y51" s="1"/>
      <c r="Z51" s="1"/>
      <c r="AA51" s="1"/>
    </row>
    <row r="52" spans="1:27" ht="12.75">
      <c r="A52" s="3"/>
      <c r="B52" s="3"/>
      <c r="C52" s="3"/>
      <c r="D52" s="3"/>
      <c r="E52" s="3"/>
      <c r="F52" s="3"/>
      <c r="G52" s="3"/>
      <c r="H52" s="14"/>
      <c r="I52" s="3"/>
      <c r="J52" s="3"/>
      <c r="K52" s="3"/>
      <c r="L52" s="14"/>
      <c r="M52" s="3"/>
      <c r="N52" s="14"/>
      <c r="O52" s="3"/>
      <c r="P52" s="3"/>
      <c r="Q52" s="3"/>
      <c r="R52" s="1"/>
      <c r="S52" s="15"/>
      <c r="T52" s="15"/>
      <c r="U52" s="1"/>
      <c r="V52" s="1"/>
      <c r="W52" s="3"/>
      <c r="X52" s="3"/>
      <c r="Y52" s="1"/>
      <c r="Z52" s="1"/>
      <c r="AA52" s="1"/>
    </row>
    <row r="53" spans="1:27" ht="12.75">
      <c r="A53" s="3"/>
      <c r="B53" s="3"/>
      <c r="C53" s="1"/>
      <c r="D53" s="3"/>
      <c r="E53" s="3"/>
      <c r="F53" s="3"/>
      <c r="G53" s="3"/>
      <c r="H53" s="14"/>
      <c r="I53" s="3"/>
      <c r="J53" s="3"/>
      <c r="K53" s="3"/>
      <c r="L53" s="14"/>
      <c r="M53" s="3"/>
      <c r="N53" s="14"/>
      <c r="O53" s="3"/>
      <c r="P53" s="3"/>
      <c r="Q53" s="3"/>
      <c r="R53" s="1"/>
      <c r="S53" s="15"/>
      <c r="T53" s="15"/>
      <c r="U53" s="1"/>
      <c r="V53" s="1"/>
      <c r="W53" s="3"/>
      <c r="X53" s="3"/>
      <c r="Y53" s="1"/>
      <c r="Z53" s="1"/>
      <c r="AA53" s="1"/>
    </row>
    <row r="54" spans="1:27" ht="12.75">
      <c r="A54" s="3"/>
      <c r="B54" s="3"/>
      <c r="C54" s="3"/>
      <c r="D54" s="3"/>
      <c r="E54" s="3"/>
      <c r="F54" s="3"/>
      <c r="G54" s="3"/>
      <c r="H54" s="14"/>
      <c r="I54" s="3"/>
      <c r="J54" s="3"/>
      <c r="K54" s="3"/>
      <c r="L54" s="14"/>
      <c r="M54" s="3"/>
      <c r="N54" s="14"/>
      <c r="O54" s="3"/>
      <c r="P54" s="3"/>
      <c r="Q54" s="3"/>
      <c r="R54" s="1"/>
      <c r="S54" s="15"/>
      <c r="T54" s="15"/>
      <c r="U54" s="1"/>
      <c r="V54" s="1"/>
      <c r="W54" s="3"/>
      <c r="X54" s="3"/>
      <c r="Y54" s="1"/>
      <c r="Z54" s="1"/>
      <c r="AA54" s="1"/>
    </row>
    <row r="55" spans="1:27" ht="12.75">
      <c r="A55" s="3"/>
      <c r="B55" s="3"/>
      <c r="C55" s="3"/>
      <c r="D55" s="3"/>
      <c r="E55" s="3"/>
      <c r="F55" s="3"/>
      <c r="G55" s="3"/>
      <c r="H55" s="14"/>
      <c r="I55" s="3"/>
      <c r="J55" s="3"/>
      <c r="K55" s="3"/>
      <c r="L55" s="14"/>
      <c r="M55" s="3"/>
      <c r="N55" s="14"/>
      <c r="O55" s="3"/>
      <c r="P55" s="3"/>
      <c r="Q55" s="3"/>
      <c r="R55" s="1"/>
      <c r="S55" s="15"/>
      <c r="T55" s="15"/>
      <c r="U55" s="1"/>
      <c r="V55" s="1"/>
      <c r="W55" s="3"/>
      <c r="X55" s="3"/>
      <c r="Y55" s="2"/>
      <c r="Z55" s="1"/>
      <c r="AA55" s="1"/>
    </row>
    <row r="56" spans="1:27" ht="12.75">
      <c r="A56" s="3"/>
      <c r="B56" s="3"/>
      <c r="C56" s="3"/>
      <c r="D56" s="3"/>
      <c r="E56" s="3"/>
      <c r="F56" s="3"/>
      <c r="G56" s="3"/>
      <c r="H56" s="14"/>
      <c r="I56" s="3"/>
      <c r="J56" s="3"/>
      <c r="K56" s="3"/>
      <c r="L56" s="14"/>
      <c r="M56" s="3"/>
      <c r="N56" s="14"/>
      <c r="O56" s="3"/>
      <c r="P56" s="3"/>
      <c r="Q56" s="3"/>
      <c r="R56" s="1"/>
      <c r="S56" s="15"/>
      <c r="T56" s="15"/>
      <c r="U56" s="1"/>
      <c r="V56" s="1"/>
      <c r="W56" s="3"/>
      <c r="X56" s="3"/>
      <c r="Y56" s="1"/>
      <c r="Z56" s="1"/>
      <c r="AA56" s="1"/>
    </row>
    <row r="57" spans="1:27" ht="12.75">
      <c r="A57" s="3"/>
      <c r="B57" s="3"/>
      <c r="C57" s="3"/>
      <c r="D57" s="3"/>
      <c r="E57" s="3"/>
      <c r="F57" s="3"/>
      <c r="G57" s="3"/>
      <c r="H57" s="14"/>
      <c r="I57" s="3"/>
      <c r="J57" s="3"/>
      <c r="K57" s="3"/>
      <c r="L57" s="14"/>
      <c r="M57" s="3"/>
      <c r="N57" s="14"/>
      <c r="O57" s="3"/>
      <c r="P57" s="3"/>
      <c r="Q57" s="3"/>
      <c r="R57" s="1"/>
      <c r="S57" s="15"/>
      <c r="T57" s="15"/>
      <c r="U57" s="1"/>
      <c r="V57" s="1"/>
      <c r="W57" s="3"/>
      <c r="X57" s="3"/>
      <c r="Y57" s="1"/>
      <c r="Z57" s="1"/>
      <c r="AA57" s="1"/>
    </row>
    <row r="58" spans="1:27" ht="12.75">
      <c r="A58" s="3"/>
      <c r="B58" s="3"/>
      <c r="C58" s="3"/>
      <c r="D58" s="3"/>
      <c r="E58" s="3"/>
      <c r="F58" s="3"/>
      <c r="G58" s="3"/>
      <c r="H58" s="14"/>
      <c r="I58" s="3"/>
      <c r="J58" s="3"/>
      <c r="K58" s="3"/>
      <c r="L58" s="14"/>
      <c r="M58" s="3"/>
      <c r="N58" s="14"/>
      <c r="O58" s="3"/>
      <c r="P58" s="3"/>
      <c r="Q58" s="3"/>
      <c r="R58" s="1"/>
      <c r="S58" s="15"/>
      <c r="T58" s="15"/>
      <c r="U58" s="1"/>
      <c r="V58" s="1"/>
      <c r="W58" s="3"/>
      <c r="X58" s="3"/>
      <c r="Y58" s="1"/>
      <c r="Z58" s="1"/>
      <c r="AA58" s="1"/>
    </row>
    <row r="59" spans="1:27" ht="12.75">
      <c r="A59" s="3"/>
      <c r="B59" s="3"/>
      <c r="C59" s="3"/>
      <c r="D59" s="3"/>
      <c r="E59" s="3"/>
      <c r="F59" s="3"/>
      <c r="G59" s="3"/>
      <c r="H59" s="14"/>
      <c r="I59" s="3"/>
      <c r="J59" s="3"/>
      <c r="K59" s="3"/>
      <c r="L59" s="14"/>
      <c r="M59" s="3"/>
      <c r="N59" s="14"/>
      <c r="O59" s="3"/>
      <c r="P59" s="3"/>
      <c r="Q59" s="3"/>
      <c r="R59" s="1"/>
      <c r="S59" s="15"/>
      <c r="T59" s="15"/>
      <c r="U59" s="1"/>
      <c r="V59" s="1"/>
      <c r="W59" s="3"/>
      <c r="X59" s="3"/>
      <c r="Y59" s="1"/>
      <c r="Z59" s="1"/>
      <c r="AA59" s="1"/>
    </row>
    <row r="60" spans="1:27" ht="12.75">
      <c r="A60" s="3"/>
      <c r="B60" s="3"/>
      <c r="C60" s="3"/>
      <c r="D60" s="3"/>
      <c r="E60" s="3"/>
      <c r="F60" s="3"/>
      <c r="G60" s="3"/>
      <c r="H60" s="14"/>
      <c r="I60" s="3"/>
      <c r="J60" s="3"/>
      <c r="K60" s="3"/>
      <c r="L60" s="14"/>
      <c r="M60" s="3"/>
      <c r="N60" s="14"/>
      <c r="O60" s="3"/>
      <c r="P60" s="3"/>
      <c r="Q60" s="3"/>
      <c r="R60" s="1"/>
      <c r="S60" s="15"/>
      <c r="T60" s="15"/>
      <c r="U60" s="1"/>
      <c r="V60" s="1"/>
      <c r="W60" s="3"/>
      <c r="X60" s="3"/>
      <c r="Y60" s="1"/>
      <c r="Z60" s="1"/>
      <c r="AA60" s="1"/>
    </row>
    <row r="61" spans="1:27" ht="12.75">
      <c r="A61" s="3"/>
      <c r="B61" s="3"/>
      <c r="C61" s="3"/>
      <c r="D61" s="3"/>
      <c r="E61" s="3"/>
      <c r="F61" s="3"/>
      <c r="G61" s="3"/>
      <c r="H61" s="14"/>
      <c r="I61" s="3"/>
      <c r="J61" s="3"/>
      <c r="K61" s="3"/>
      <c r="L61" s="14"/>
      <c r="M61" s="3"/>
      <c r="N61" s="14"/>
      <c r="O61" s="3"/>
      <c r="P61" s="3"/>
      <c r="Q61" s="3"/>
      <c r="R61" s="1"/>
      <c r="S61" s="15"/>
      <c r="T61" s="15"/>
      <c r="U61" s="1"/>
      <c r="V61" s="1"/>
      <c r="W61" s="3"/>
      <c r="X61" s="3"/>
      <c r="Y61" s="1"/>
      <c r="Z61" s="1"/>
      <c r="AA61" s="1"/>
    </row>
    <row r="62" spans="1:27" ht="12.75">
      <c r="A62" s="3"/>
      <c r="B62" s="3"/>
      <c r="C62" s="3"/>
      <c r="D62" s="3"/>
      <c r="E62" s="3"/>
      <c r="F62" s="3"/>
      <c r="G62" s="3"/>
      <c r="H62" s="14"/>
      <c r="I62" s="3"/>
      <c r="J62" s="3"/>
      <c r="K62" s="3"/>
      <c r="L62" s="14"/>
      <c r="M62" s="3"/>
      <c r="N62" s="14"/>
      <c r="O62" s="3"/>
      <c r="P62" s="3"/>
      <c r="Q62" s="3"/>
      <c r="R62" s="1"/>
      <c r="S62" s="15"/>
      <c r="T62" s="15"/>
      <c r="U62" s="1"/>
      <c r="V62" s="1"/>
      <c r="W62" s="3"/>
      <c r="X62" s="3"/>
      <c r="Y62" s="1"/>
      <c r="Z62" s="1"/>
      <c r="AA62" s="1"/>
    </row>
    <row r="63" spans="1:27" ht="12.75">
      <c r="A63" s="3"/>
      <c r="B63" s="3"/>
      <c r="C63" s="3"/>
      <c r="D63" s="3"/>
      <c r="E63" s="3"/>
      <c r="F63" s="3"/>
      <c r="G63" s="3"/>
      <c r="H63" s="14"/>
      <c r="I63" s="3"/>
      <c r="J63" s="3"/>
      <c r="K63" s="3"/>
      <c r="L63" s="14"/>
      <c r="M63" s="3"/>
      <c r="N63" s="14"/>
      <c r="O63" s="3"/>
      <c r="P63" s="3"/>
      <c r="Q63" s="3"/>
      <c r="R63" s="1"/>
      <c r="S63" s="15"/>
      <c r="T63" s="15"/>
      <c r="U63" s="1"/>
      <c r="V63" s="1"/>
      <c r="W63" s="3"/>
      <c r="X63" s="3"/>
      <c r="Y63" s="1"/>
      <c r="Z63" s="1"/>
      <c r="AA63" s="1"/>
    </row>
    <row r="64" spans="1:27" ht="12.75">
      <c r="A64" s="3"/>
      <c r="B64" s="3"/>
      <c r="C64" s="3"/>
      <c r="D64" s="3"/>
      <c r="E64" s="3"/>
      <c r="F64" s="3"/>
      <c r="G64" s="3"/>
      <c r="H64" s="14"/>
      <c r="I64" s="3"/>
      <c r="J64" s="3"/>
      <c r="K64" s="3"/>
      <c r="L64" s="14"/>
      <c r="M64" s="3"/>
      <c r="N64" s="14"/>
      <c r="O64" s="3"/>
      <c r="P64" s="3"/>
      <c r="Q64" s="3"/>
      <c r="R64" s="1"/>
      <c r="S64" s="15"/>
      <c r="T64" s="15"/>
      <c r="U64" s="1"/>
      <c r="V64" s="1"/>
      <c r="W64" s="3"/>
      <c r="X64" s="3"/>
      <c r="Y64" s="1"/>
      <c r="Z64" s="1"/>
      <c r="AA64" s="1"/>
    </row>
    <row r="65" spans="1:27" ht="12.75">
      <c r="A65" s="3"/>
      <c r="B65" s="3"/>
      <c r="C65" s="3"/>
      <c r="D65" s="3"/>
      <c r="E65" s="3"/>
      <c r="F65" s="3"/>
      <c r="G65" s="3"/>
      <c r="H65" s="14"/>
      <c r="I65" s="3"/>
      <c r="J65" s="3"/>
      <c r="K65" s="3"/>
      <c r="L65" s="14"/>
      <c r="M65" s="3"/>
      <c r="N65" s="14"/>
      <c r="O65" s="3"/>
      <c r="P65" s="3"/>
      <c r="Q65" s="3"/>
      <c r="R65" s="1"/>
      <c r="S65" s="15"/>
      <c r="T65" s="15"/>
      <c r="U65" s="1"/>
      <c r="V65" s="1"/>
      <c r="W65" s="3"/>
      <c r="X65" s="3"/>
      <c r="Y65" s="1"/>
      <c r="Z65" s="1"/>
      <c r="AA65" s="1"/>
    </row>
    <row r="66" spans="1:27" ht="12.75">
      <c r="A66" s="3"/>
      <c r="B66" s="3"/>
      <c r="C66" s="3"/>
      <c r="D66" s="3"/>
      <c r="E66" s="3"/>
      <c r="F66" s="3"/>
      <c r="G66" s="3"/>
      <c r="H66" s="14"/>
      <c r="I66" s="3"/>
      <c r="J66" s="3"/>
      <c r="K66" s="3"/>
      <c r="L66" s="14"/>
      <c r="M66" s="3"/>
      <c r="N66" s="14"/>
      <c r="O66" s="3"/>
      <c r="P66" s="3"/>
      <c r="Q66" s="3"/>
      <c r="R66" s="1"/>
      <c r="S66" s="15"/>
      <c r="T66" s="15"/>
      <c r="U66" s="1"/>
      <c r="V66" s="1"/>
      <c r="W66" s="3"/>
      <c r="X66" s="3"/>
      <c r="Y66" s="2"/>
      <c r="Z66" s="1"/>
      <c r="AA66" s="1"/>
    </row>
    <row r="67" spans="1:27" ht="12.75">
      <c r="A67" s="3"/>
      <c r="B67" s="3"/>
      <c r="C67" s="3"/>
      <c r="D67" s="3"/>
      <c r="E67" s="3"/>
      <c r="F67" s="3"/>
      <c r="G67" s="3"/>
      <c r="H67" s="14"/>
      <c r="I67" s="3"/>
      <c r="J67" s="3"/>
      <c r="K67" s="3"/>
      <c r="L67" s="14"/>
      <c r="M67" s="3"/>
      <c r="N67" s="14"/>
      <c r="O67" s="3"/>
      <c r="P67" s="3"/>
      <c r="Q67" s="3"/>
      <c r="R67" s="1"/>
      <c r="S67" s="15"/>
      <c r="T67" s="15"/>
      <c r="U67" s="1"/>
      <c r="V67" s="1"/>
      <c r="W67" s="3"/>
      <c r="X67" s="3"/>
      <c r="Y67" s="1"/>
      <c r="Z67" s="1"/>
      <c r="AA67" s="1"/>
    </row>
    <row r="68" spans="1:27" ht="12.75">
      <c r="A68" s="3"/>
      <c r="B68" s="3"/>
      <c r="C68" s="3"/>
      <c r="D68" s="3"/>
      <c r="E68" s="3"/>
      <c r="F68" s="3"/>
      <c r="G68" s="3"/>
      <c r="H68" s="14"/>
      <c r="I68" s="3"/>
      <c r="J68" s="3"/>
      <c r="K68" s="3"/>
      <c r="L68" s="14"/>
      <c r="M68" s="3"/>
      <c r="N68" s="14"/>
      <c r="O68" s="3"/>
      <c r="P68" s="3"/>
      <c r="Q68" s="3"/>
      <c r="R68" s="1"/>
      <c r="S68" s="15"/>
      <c r="T68" s="15"/>
      <c r="U68" s="1"/>
      <c r="V68" s="1"/>
      <c r="W68" s="3"/>
      <c r="X68" s="3"/>
      <c r="Y68" s="1"/>
      <c r="Z68" s="1"/>
      <c r="AA68" s="1"/>
    </row>
    <row r="69" spans="1:27" ht="12.75">
      <c r="A69" s="3"/>
      <c r="B69" s="3"/>
      <c r="C69" s="3"/>
      <c r="D69" s="3"/>
      <c r="E69" s="3"/>
      <c r="F69" s="3"/>
      <c r="G69" s="3"/>
      <c r="H69" s="14"/>
      <c r="I69" s="3"/>
      <c r="J69" s="3"/>
      <c r="K69" s="3"/>
      <c r="L69" s="14"/>
      <c r="M69" s="3"/>
      <c r="N69" s="14"/>
      <c r="O69" s="3"/>
      <c r="P69" s="3"/>
      <c r="Q69" s="3"/>
      <c r="R69" s="1"/>
      <c r="S69" s="15"/>
      <c r="T69" s="15"/>
      <c r="U69" s="1"/>
      <c r="V69" s="1"/>
      <c r="W69" s="3"/>
      <c r="X69" s="3"/>
      <c r="Y69" s="1"/>
      <c r="Z69" s="1"/>
      <c r="AA69" s="1"/>
    </row>
    <row r="70" spans="1:27" ht="12.75">
      <c r="A70" s="3"/>
      <c r="B70" s="3"/>
      <c r="C70" s="3"/>
      <c r="D70" s="3"/>
      <c r="E70" s="3"/>
      <c r="F70" s="3"/>
      <c r="G70" s="3"/>
      <c r="H70" s="14"/>
      <c r="I70" s="3"/>
      <c r="J70" s="3"/>
      <c r="K70" s="3"/>
      <c r="L70" s="14"/>
      <c r="M70" s="3"/>
      <c r="N70" s="14"/>
      <c r="O70" s="3"/>
      <c r="P70" s="3"/>
      <c r="Q70" s="3"/>
      <c r="R70" s="1"/>
      <c r="S70" s="15"/>
      <c r="T70" s="15"/>
      <c r="U70" s="1"/>
      <c r="V70" s="1"/>
      <c r="W70" s="3"/>
      <c r="X70" s="3"/>
      <c r="Y70" s="1"/>
      <c r="Z70" s="1"/>
      <c r="AA70" s="1"/>
    </row>
    <row r="71" spans="1:27" ht="12.75">
      <c r="A71" s="3"/>
      <c r="B71" s="3"/>
      <c r="C71" s="13"/>
      <c r="D71" s="13"/>
      <c r="E71" s="3"/>
      <c r="F71" s="3"/>
      <c r="G71" s="3"/>
      <c r="H71" s="14"/>
      <c r="I71" s="3"/>
      <c r="J71" s="3"/>
      <c r="K71" s="3"/>
      <c r="L71" s="14"/>
      <c r="M71" s="3"/>
      <c r="N71" s="14"/>
      <c r="O71" s="3"/>
      <c r="P71" s="3"/>
      <c r="Q71" s="3"/>
      <c r="R71" s="1"/>
      <c r="S71" s="15"/>
      <c r="T71" s="15"/>
      <c r="U71" s="1"/>
      <c r="V71" s="1"/>
      <c r="W71" s="3"/>
      <c r="X71" s="3"/>
      <c r="Y71" s="1"/>
      <c r="Z71" s="1"/>
      <c r="AA71" s="1"/>
    </row>
    <row r="72" spans="1:27" ht="12.75">
      <c r="A72" s="3"/>
      <c r="B72" s="3"/>
      <c r="C72" s="3"/>
      <c r="D72" s="3"/>
      <c r="E72" s="3"/>
      <c r="F72" s="3"/>
      <c r="G72" s="3"/>
      <c r="H72" s="14"/>
      <c r="I72" s="3"/>
      <c r="J72" s="3"/>
      <c r="K72" s="3"/>
      <c r="L72" s="14"/>
      <c r="M72" s="3"/>
      <c r="N72" s="14"/>
      <c r="O72" s="3"/>
      <c r="P72" s="3"/>
      <c r="Q72" s="3"/>
      <c r="R72" s="1"/>
      <c r="S72" s="15"/>
      <c r="T72" s="15"/>
      <c r="U72" s="1"/>
      <c r="V72" s="1"/>
      <c r="W72" s="3"/>
      <c r="X72" s="3"/>
      <c r="Y72" s="1"/>
      <c r="Z72" s="1"/>
      <c r="AA72" s="1"/>
    </row>
    <row r="73" spans="1:27" ht="12.75">
      <c r="A73" s="3"/>
      <c r="B73" s="3"/>
      <c r="C73" s="3"/>
      <c r="D73" s="3"/>
      <c r="E73" s="3"/>
      <c r="F73" s="3"/>
      <c r="G73" s="3"/>
      <c r="H73" s="14"/>
      <c r="I73" s="3"/>
      <c r="J73" s="3"/>
      <c r="K73" s="3"/>
      <c r="L73" s="14"/>
      <c r="M73" s="3"/>
      <c r="N73" s="14"/>
      <c r="O73" s="3"/>
      <c r="P73" s="3"/>
      <c r="Q73" s="3"/>
      <c r="R73" s="1"/>
      <c r="S73" s="15"/>
      <c r="T73" s="15"/>
      <c r="U73" s="1"/>
      <c r="V73" s="1"/>
      <c r="W73" s="3"/>
      <c r="X73" s="3"/>
      <c r="Y73" s="1"/>
      <c r="Z73" s="1"/>
      <c r="AA73" s="1"/>
    </row>
    <row r="74" spans="1:27" ht="12.75">
      <c r="A74" s="3"/>
      <c r="B74" s="3"/>
      <c r="C74" s="3"/>
      <c r="D74" s="3"/>
      <c r="E74" s="3"/>
      <c r="F74" s="3"/>
      <c r="G74" s="3"/>
      <c r="H74" s="14"/>
      <c r="I74" s="3"/>
      <c r="J74" s="3"/>
      <c r="K74" s="3"/>
      <c r="L74" s="14"/>
      <c r="M74" s="3"/>
      <c r="N74" s="14"/>
      <c r="O74" s="3"/>
      <c r="P74" s="3"/>
      <c r="Q74" s="3"/>
      <c r="R74" s="1"/>
      <c r="S74" s="15"/>
      <c r="T74" s="15"/>
      <c r="U74" s="1"/>
      <c r="V74" s="1"/>
      <c r="W74" s="3"/>
      <c r="X74" s="3"/>
      <c r="Y74" s="2"/>
      <c r="Z74" s="1"/>
      <c r="AA74" s="1"/>
    </row>
    <row r="75" spans="1:27" ht="12.75">
      <c r="A75" s="3"/>
      <c r="B75" s="3"/>
      <c r="C75" s="3"/>
      <c r="D75" s="3"/>
      <c r="E75" s="3"/>
      <c r="F75" s="3"/>
      <c r="G75" s="3"/>
      <c r="H75" s="14"/>
      <c r="I75" s="3"/>
      <c r="J75" s="3"/>
      <c r="K75" s="3"/>
      <c r="L75" s="14"/>
      <c r="M75" s="3"/>
      <c r="N75" s="14"/>
      <c r="O75" s="3"/>
      <c r="P75" s="3"/>
      <c r="Q75" s="3"/>
      <c r="R75" s="1"/>
      <c r="S75" s="15"/>
      <c r="T75" s="15"/>
      <c r="U75" s="1"/>
      <c r="V75" s="1"/>
      <c r="W75" s="3"/>
      <c r="X75" s="3"/>
      <c r="Y75" s="1"/>
      <c r="Z75" s="1"/>
      <c r="AA75" s="1"/>
    </row>
    <row r="76" spans="1:27" ht="12.75">
      <c r="A76" s="3"/>
      <c r="B76" s="3"/>
      <c r="C76" s="3"/>
      <c r="D76" s="3"/>
      <c r="E76" s="3"/>
      <c r="F76" s="3"/>
      <c r="G76" s="3"/>
      <c r="H76" s="14"/>
      <c r="I76" s="3"/>
      <c r="J76" s="3"/>
      <c r="K76" s="3"/>
      <c r="L76" s="14"/>
      <c r="M76" s="3"/>
      <c r="N76" s="14"/>
      <c r="O76" s="3"/>
      <c r="P76" s="3"/>
      <c r="Q76" s="3"/>
      <c r="R76" s="1"/>
      <c r="S76" s="15"/>
      <c r="T76" s="15"/>
      <c r="U76" s="1"/>
      <c r="V76" s="1"/>
      <c r="W76" s="3"/>
      <c r="X76" s="3"/>
      <c r="Y76" s="1"/>
      <c r="Z76" s="1"/>
      <c r="AA76" s="1"/>
    </row>
    <row r="77" spans="1:27" ht="12.75">
      <c r="A77" s="3"/>
      <c r="B77" s="3"/>
      <c r="C77" s="3"/>
      <c r="D77" s="3"/>
      <c r="E77" s="3"/>
      <c r="F77" s="3"/>
      <c r="G77" s="3"/>
      <c r="H77" s="14"/>
      <c r="I77" s="3"/>
      <c r="J77" s="3"/>
      <c r="K77" s="3"/>
      <c r="L77" s="14"/>
      <c r="M77" s="3"/>
      <c r="N77" s="14"/>
      <c r="O77" s="3"/>
      <c r="P77" s="3"/>
      <c r="Q77" s="3"/>
      <c r="R77" s="1"/>
      <c r="S77" s="15"/>
      <c r="T77" s="15"/>
      <c r="U77" s="1"/>
      <c r="V77" s="1"/>
      <c r="W77" s="3"/>
      <c r="X77" s="3"/>
      <c r="Y77" s="1"/>
      <c r="Z77" s="1"/>
      <c r="AA77" s="1"/>
    </row>
    <row r="78" spans="1:27" ht="12.75">
      <c r="A78" s="3"/>
      <c r="B78" s="3"/>
      <c r="C78" s="3"/>
      <c r="D78" s="3"/>
      <c r="E78" s="3"/>
      <c r="F78" s="3"/>
      <c r="G78" s="3"/>
      <c r="H78" s="14"/>
      <c r="I78" s="3"/>
      <c r="J78" s="3"/>
      <c r="K78" s="3"/>
      <c r="L78" s="14"/>
      <c r="M78" s="3"/>
      <c r="N78" s="14"/>
      <c r="O78" s="3"/>
      <c r="P78" s="3"/>
      <c r="Q78" s="3"/>
      <c r="R78" s="1"/>
      <c r="S78" s="15"/>
      <c r="T78" s="15"/>
      <c r="U78" s="1"/>
      <c r="V78" s="1"/>
      <c r="W78" s="3"/>
      <c r="X78" s="3"/>
      <c r="Y78" s="1"/>
      <c r="Z78" s="1"/>
      <c r="AA78" s="1"/>
    </row>
    <row r="79" spans="1:27" ht="12.75">
      <c r="A79" s="3"/>
      <c r="B79" s="3"/>
      <c r="C79" s="3"/>
      <c r="D79" s="3"/>
      <c r="E79" s="3"/>
      <c r="F79" s="3"/>
      <c r="G79" s="3"/>
      <c r="H79" s="14"/>
      <c r="I79" s="3"/>
      <c r="J79" s="3"/>
      <c r="K79" s="3"/>
      <c r="L79" s="14"/>
      <c r="M79" s="3"/>
      <c r="N79" s="14"/>
      <c r="O79" s="3"/>
      <c r="P79" s="3"/>
      <c r="Q79" s="3"/>
      <c r="R79" s="1"/>
      <c r="S79" s="15"/>
      <c r="T79" s="15"/>
      <c r="U79" s="1"/>
      <c r="V79" s="1"/>
      <c r="W79" s="3"/>
      <c r="X79" s="3"/>
      <c r="Y79" s="1"/>
      <c r="Z79" s="1"/>
      <c r="AA79" s="1"/>
    </row>
    <row r="80" spans="1:27" ht="12.75">
      <c r="A80" s="3"/>
      <c r="B80" s="3"/>
      <c r="C80" s="3"/>
      <c r="D80" s="3"/>
      <c r="E80" s="3"/>
      <c r="F80" s="3"/>
      <c r="G80" s="3"/>
      <c r="H80" s="14"/>
      <c r="I80" s="3"/>
      <c r="J80" s="3"/>
      <c r="K80" s="3"/>
      <c r="L80" s="14"/>
      <c r="M80" s="3"/>
      <c r="N80" s="14"/>
      <c r="O80" s="3"/>
      <c r="P80" s="3"/>
      <c r="Q80" s="3"/>
      <c r="R80" s="1"/>
      <c r="S80" s="15"/>
      <c r="T80" s="15"/>
      <c r="U80" s="1"/>
      <c r="V80" s="1"/>
      <c r="W80" s="3"/>
      <c r="X80" s="3"/>
      <c r="Y80" s="1"/>
      <c r="Z80" s="1"/>
      <c r="AA80" s="1"/>
    </row>
    <row r="81" spans="1:27" ht="12.75">
      <c r="A81" s="3"/>
      <c r="B81" s="3"/>
      <c r="C81" s="3"/>
      <c r="D81" s="3"/>
      <c r="E81" s="3"/>
      <c r="F81" s="3"/>
      <c r="G81" s="3"/>
      <c r="H81" s="14"/>
      <c r="I81" s="3"/>
      <c r="J81" s="3"/>
      <c r="K81" s="3"/>
      <c r="L81" s="14"/>
      <c r="M81" s="3"/>
      <c r="N81" s="14"/>
      <c r="O81" s="3"/>
      <c r="P81" s="3"/>
      <c r="Q81" s="3"/>
      <c r="R81" s="1"/>
      <c r="S81" s="15"/>
      <c r="T81" s="15"/>
      <c r="U81" s="1"/>
      <c r="V81" s="1"/>
      <c r="W81" s="3"/>
      <c r="X81" s="3"/>
      <c r="Y81" s="1"/>
      <c r="Z81" s="1"/>
      <c r="AA81" s="1"/>
    </row>
    <row r="82" spans="1:27" ht="12.75">
      <c r="A82" s="3"/>
      <c r="B82" s="3"/>
      <c r="C82" s="3"/>
      <c r="D82" s="3"/>
      <c r="E82" s="3"/>
      <c r="F82" s="3"/>
      <c r="G82" s="3"/>
      <c r="H82" s="14"/>
      <c r="I82" s="3"/>
      <c r="J82" s="3"/>
      <c r="K82" s="3"/>
      <c r="L82" s="14"/>
      <c r="M82" s="3"/>
      <c r="N82" s="14"/>
      <c r="O82" s="3"/>
      <c r="P82" s="3"/>
      <c r="Q82" s="3"/>
      <c r="R82" s="1"/>
      <c r="S82" s="15"/>
      <c r="T82" s="15"/>
      <c r="U82" s="1"/>
      <c r="V82" s="1"/>
      <c r="W82" s="3"/>
      <c r="X82" s="3"/>
      <c r="Y82" s="1"/>
      <c r="Z82" s="1"/>
      <c r="AA82" s="1"/>
    </row>
    <row r="83" spans="1:27" ht="12.75">
      <c r="A83" s="3"/>
      <c r="B83" s="3"/>
      <c r="C83" s="3"/>
      <c r="D83" s="3"/>
      <c r="E83" s="3"/>
      <c r="F83" s="3"/>
      <c r="G83" s="3"/>
      <c r="H83" s="14"/>
      <c r="I83" s="3"/>
      <c r="J83" s="3"/>
      <c r="K83" s="3"/>
      <c r="L83" s="14"/>
      <c r="M83" s="3"/>
      <c r="N83" s="14"/>
      <c r="O83" s="3"/>
      <c r="P83" s="3"/>
      <c r="Q83" s="3"/>
      <c r="R83" s="1"/>
      <c r="S83" s="15"/>
      <c r="T83" s="15"/>
      <c r="U83" s="1"/>
      <c r="V83" s="1"/>
      <c r="W83" s="3"/>
      <c r="X83" s="3"/>
      <c r="Y83" s="1"/>
      <c r="Z83" s="1"/>
      <c r="AA83" s="1"/>
    </row>
    <row r="84" spans="1:27" ht="12.75">
      <c r="A84" s="3"/>
      <c r="B84" s="3"/>
      <c r="C84" s="13"/>
      <c r="D84" s="13"/>
      <c r="E84" s="3"/>
      <c r="F84" s="3"/>
      <c r="G84" s="3"/>
      <c r="H84" s="14"/>
      <c r="I84" s="3"/>
      <c r="J84" s="3"/>
      <c r="K84" s="3"/>
      <c r="L84" s="14"/>
      <c r="M84" s="3"/>
      <c r="N84" s="14"/>
      <c r="O84" s="3"/>
      <c r="P84" s="3"/>
      <c r="Q84" s="3"/>
      <c r="R84" s="1"/>
      <c r="S84" s="15"/>
      <c r="T84" s="15"/>
      <c r="U84" s="1"/>
      <c r="V84" s="1"/>
      <c r="W84" s="3"/>
      <c r="X84" s="3"/>
      <c r="Y84" s="1"/>
      <c r="Z84" s="1"/>
      <c r="AA84" s="1"/>
    </row>
    <row r="85" spans="1:27" ht="12.75">
      <c r="A85" s="3"/>
      <c r="B85" s="3"/>
      <c r="C85" s="3"/>
      <c r="D85" s="3"/>
      <c r="E85" s="3"/>
      <c r="F85" s="3"/>
      <c r="G85" s="3"/>
      <c r="H85" s="14"/>
      <c r="I85" s="3"/>
      <c r="J85" s="3"/>
      <c r="K85" s="3"/>
      <c r="L85" s="14"/>
      <c r="M85" s="3"/>
      <c r="N85" s="14"/>
      <c r="O85" s="3"/>
      <c r="P85" s="3"/>
      <c r="Q85" s="3"/>
      <c r="R85" s="1"/>
      <c r="S85" s="15"/>
      <c r="T85" s="15"/>
      <c r="U85" s="1"/>
      <c r="V85" s="1"/>
      <c r="W85" s="3"/>
      <c r="X85" s="3"/>
      <c r="Y85" s="1"/>
      <c r="Z85" s="1"/>
      <c r="AA85" s="1"/>
    </row>
    <row r="86" spans="1:27" ht="12.75">
      <c r="A86" s="3"/>
      <c r="B86" s="3"/>
      <c r="C86" s="3"/>
      <c r="D86" s="3"/>
      <c r="E86" s="3"/>
      <c r="F86" s="3"/>
      <c r="G86" s="3"/>
      <c r="H86" s="14"/>
      <c r="I86" s="3"/>
      <c r="J86" s="3"/>
      <c r="K86" s="3"/>
      <c r="L86" s="14"/>
      <c r="M86" s="3"/>
      <c r="N86" s="14"/>
      <c r="O86" s="3"/>
      <c r="P86" s="3"/>
      <c r="Q86" s="3"/>
      <c r="R86" s="1"/>
      <c r="S86" s="15"/>
      <c r="T86" s="15"/>
      <c r="U86" s="1"/>
      <c r="V86" s="1"/>
      <c r="W86" s="3"/>
      <c r="X86" s="3"/>
      <c r="Y86" s="2"/>
      <c r="Z86" s="1"/>
      <c r="AA86" s="1"/>
    </row>
    <row r="87" spans="1:27" ht="12.75">
      <c r="A87" s="3"/>
      <c r="B87" s="3"/>
      <c r="C87" s="3"/>
      <c r="D87" s="3"/>
      <c r="E87" s="3"/>
      <c r="F87" s="3"/>
      <c r="G87" s="3"/>
      <c r="H87" s="14"/>
      <c r="I87" s="3"/>
      <c r="J87" s="3"/>
      <c r="K87" s="3"/>
      <c r="L87" s="14"/>
      <c r="M87" s="3"/>
      <c r="N87" s="14"/>
      <c r="O87" s="3"/>
      <c r="P87" s="3"/>
      <c r="Q87" s="3"/>
      <c r="R87" s="1"/>
      <c r="S87" s="15"/>
      <c r="T87" s="15"/>
      <c r="U87" s="1"/>
      <c r="V87" s="1"/>
      <c r="W87" s="3"/>
      <c r="X87" s="3"/>
      <c r="Y87" s="1"/>
      <c r="Z87" s="1"/>
      <c r="AA87" s="1"/>
    </row>
    <row r="88" spans="1:27" ht="12.75">
      <c r="A88" s="3"/>
      <c r="B88" s="3"/>
      <c r="C88" s="3"/>
      <c r="D88" s="3"/>
      <c r="E88" s="3"/>
      <c r="F88" s="3"/>
      <c r="G88" s="3"/>
      <c r="H88" s="14"/>
      <c r="I88" s="3"/>
      <c r="J88" s="3"/>
      <c r="K88" s="3"/>
      <c r="L88" s="14"/>
      <c r="M88" s="3"/>
      <c r="N88" s="14"/>
      <c r="O88" s="3"/>
      <c r="P88" s="3"/>
      <c r="Q88" s="3"/>
      <c r="R88" s="1"/>
      <c r="S88" s="15"/>
      <c r="T88" s="15"/>
      <c r="U88" s="1"/>
      <c r="V88" s="1"/>
      <c r="W88" s="3"/>
      <c r="X88" s="3"/>
      <c r="Y88" s="1"/>
      <c r="Z88" s="1"/>
      <c r="AA88" s="1"/>
    </row>
    <row r="89" spans="1:27" ht="12.75">
      <c r="A89" s="3"/>
      <c r="B89" s="3"/>
      <c r="C89" s="3"/>
      <c r="D89" s="3"/>
      <c r="E89" s="3"/>
      <c r="F89" s="3"/>
      <c r="G89" s="3"/>
      <c r="H89" s="14"/>
      <c r="I89" s="3"/>
      <c r="J89" s="3"/>
      <c r="K89" s="3"/>
      <c r="L89" s="14"/>
      <c r="M89" s="3"/>
      <c r="N89" s="14"/>
      <c r="O89" s="3"/>
      <c r="P89" s="3"/>
      <c r="Q89" s="3"/>
      <c r="R89" s="1"/>
      <c r="S89" s="15"/>
      <c r="T89" s="15"/>
      <c r="U89" s="1"/>
      <c r="V89" s="1"/>
      <c r="W89" s="3"/>
      <c r="X89" s="3"/>
      <c r="Y89" s="1"/>
      <c r="Z89" s="1"/>
      <c r="AA89" s="1"/>
    </row>
    <row r="90" spans="1:27" ht="12.75">
      <c r="A90" s="3"/>
      <c r="B90" s="3"/>
      <c r="C90" s="3"/>
      <c r="D90" s="3"/>
      <c r="E90" s="3"/>
      <c r="F90" s="3"/>
      <c r="G90" s="3"/>
      <c r="H90" s="14"/>
      <c r="I90" s="3"/>
      <c r="J90" s="3"/>
      <c r="K90" s="3"/>
      <c r="L90" s="14"/>
      <c r="M90" s="3"/>
      <c r="N90" s="14"/>
      <c r="O90" s="3"/>
      <c r="P90" s="3"/>
      <c r="Q90" s="3"/>
      <c r="R90" s="1"/>
      <c r="S90" s="15"/>
      <c r="T90" s="15"/>
      <c r="U90" s="1"/>
      <c r="V90" s="1"/>
      <c r="W90" s="3"/>
      <c r="X90" s="3"/>
      <c r="Y90" s="1"/>
      <c r="Z90" s="1"/>
      <c r="AA90" s="1"/>
    </row>
    <row r="91" spans="1:27" ht="12.75">
      <c r="A91" s="3"/>
      <c r="B91" s="3"/>
      <c r="C91" s="3"/>
      <c r="D91" s="3"/>
      <c r="E91" s="3"/>
      <c r="F91" s="3"/>
      <c r="G91" s="3"/>
      <c r="H91" s="14"/>
      <c r="I91" s="3"/>
      <c r="J91" s="3"/>
      <c r="K91" s="3"/>
      <c r="L91" s="14"/>
      <c r="M91" s="3"/>
      <c r="N91" s="14"/>
      <c r="O91" s="3"/>
      <c r="P91" s="3"/>
      <c r="Q91" s="3"/>
      <c r="R91" s="1"/>
      <c r="S91" s="15"/>
      <c r="T91" s="15"/>
      <c r="U91" s="1"/>
      <c r="V91" s="1"/>
      <c r="W91" s="3"/>
      <c r="X91" s="3"/>
      <c r="Y91" s="1"/>
      <c r="Z91" s="1"/>
      <c r="AA91" s="1"/>
    </row>
    <row r="92" spans="1:27" ht="12.75">
      <c r="A92" s="3"/>
      <c r="B92" s="3"/>
      <c r="C92" s="3"/>
      <c r="D92" s="3"/>
      <c r="E92" s="3"/>
      <c r="F92" s="3"/>
      <c r="G92" s="3"/>
      <c r="H92" s="14"/>
      <c r="I92" s="3"/>
      <c r="J92" s="3"/>
      <c r="K92" s="3"/>
      <c r="L92" s="14"/>
      <c r="M92" s="3"/>
      <c r="N92" s="14"/>
      <c r="O92" s="3"/>
      <c r="P92" s="3"/>
      <c r="Q92" s="3"/>
      <c r="R92" s="1"/>
      <c r="S92" s="15"/>
      <c r="T92" s="15"/>
      <c r="U92" s="1"/>
      <c r="V92" s="1"/>
      <c r="W92" s="3"/>
      <c r="X92" s="3"/>
      <c r="Y92" s="1"/>
      <c r="Z92" s="1"/>
      <c r="AA92" s="1"/>
    </row>
    <row r="93" spans="1:27" ht="12.75">
      <c r="A93" s="3"/>
      <c r="B93" s="3"/>
      <c r="C93" s="3"/>
      <c r="D93" s="3"/>
      <c r="E93" s="3"/>
      <c r="F93" s="3"/>
      <c r="G93" s="3"/>
      <c r="H93" s="14"/>
      <c r="I93" s="3"/>
      <c r="J93" s="3"/>
      <c r="K93" s="3"/>
      <c r="L93" s="14"/>
      <c r="M93" s="3"/>
      <c r="N93" s="14"/>
      <c r="O93" s="3"/>
      <c r="P93" s="3"/>
      <c r="Q93" s="3"/>
      <c r="R93" s="1"/>
      <c r="S93" s="15"/>
      <c r="T93" s="15"/>
      <c r="U93" s="1"/>
      <c r="V93" s="1"/>
      <c r="W93" s="3"/>
      <c r="X93" s="3"/>
      <c r="Y93" s="1"/>
      <c r="Z93" s="1"/>
      <c r="AA93" s="1"/>
    </row>
    <row r="94" spans="1:27" ht="12.75">
      <c r="A94" s="3"/>
      <c r="B94" s="3"/>
      <c r="C94" s="13"/>
      <c r="D94" s="13"/>
      <c r="E94" s="3"/>
      <c r="F94" s="3"/>
      <c r="G94" s="3"/>
      <c r="H94" s="14"/>
      <c r="I94" s="3"/>
      <c r="J94" s="3"/>
      <c r="K94" s="3"/>
      <c r="L94" s="14"/>
      <c r="M94" s="3"/>
      <c r="N94" s="14"/>
      <c r="O94" s="3"/>
      <c r="P94" s="3"/>
      <c r="Q94" s="3"/>
      <c r="R94" s="1"/>
      <c r="S94" s="15"/>
      <c r="T94" s="15"/>
      <c r="U94" s="1"/>
      <c r="V94" s="1"/>
      <c r="W94" s="3"/>
      <c r="X94" s="3"/>
      <c r="Y94" s="1"/>
      <c r="Z94" s="1"/>
      <c r="AA94" s="1"/>
    </row>
    <row r="95" spans="1:27" ht="12.75">
      <c r="A95" s="3"/>
      <c r="B95" s="3"/>
      <c r="C95" s="3"/>
      <c r="D95" s="3"/>
      <c r="E95" s="3"/>
      <c r="F95" s="3"/>
      <c r="G95" s="3"/>
      <c r="H95" s="14"/>
      <c r="I95" s="3"/>
      <c r="J95" s="3"/>
      <c r="K95" s="3"/>
      <c r="L95" s="14"/>
      <c r="M95" s="3"/>
      <c r="N95" s="14"/>
      <c r="O95" s="3"/>
      <c r="P95" s="3"/>
      <c r="Q95" s="3"/>
      <c r="R95" s="1"/>
      <c r="S95" s="15"/>
      <c r="T95" s="15"/>
      <c r="U95" s="1"/>
      <c r="V95" s="1"/>
      <c r="W95" s="3"/>
      <c r="X95" s="3"/>
      <c r="Y95" s="1"/>
      <c r="Z95" s="1"/>
      <c r="AA95" s="1"/>
    </row>
    <row r="96" spans="1:27" ht="12.75">
      <c r="A96" s="3"/>
      <c r="B96" s="3"/>
      <c r="C96" s="3"/>
      <c r="D96" s="3"/>
      <c r="E96" s="3"/>
      <c r="F96" s="3"/>
      <c r="G96" s="3"/>
      <c r="H96" s="14"/>
      <c r="I96" s="3"/>
      <c r="J96" s="3"/>
      <c r="K96" s="3"/>
      <c r="L96" s="14"/>
      <c r="M96" s="3"/>
      <c r="N96" s="14"/>
      <c r="O96" s="3"/>
      <c r="P96" s="3"/>
      <c r="Q96" s="3"/>
      <c r="R96" s="1"/>
      <c r="S96" s="15"/>
      <c r="T96" s="15"/>
      <c r="U96" s="1"/>
      <c r="V96" s="1"/>
      <c r="W96" s="3"/>
      <c r="X96" s="3"/>
      <c r="Y96" s="1"/>
      <c r="Z96" s="1"/>
      <c r="AA96" s="1"/>
    </row>
    <row r="97" spans="1:27" ht="12.75">
      <c r="A97" s="3"/>
      <c r="B97" s="3"/>
      <c r="C97" s="3"/>
      <c r="D97" s="3"/>
      <c r="E97" s="3"/>
      <c r="F97" s="3"/>
      <c r="G97" s="3"/>
      <c r="H97" s="14"/>
      <c r="I97" s="3"/>
      <c r="J97" s="3"/>
      <c r="K97" s="3"/>
      <c r="L97" s="14"/>
      <c r="M97" s="3"/>
      <c r="N97" s="14"/>
      <c r="O97" s="3"/>
      <c r="P97" s="3"/>
      <c r="Q97" s="3"/>
      <c r="R97" s="1"/>
      <c r="S97" s="15"/>
      <c r="T97" s="15"/>
      <c r="U97" s="1"/>
      <c r="V97" s="1"/>
      <c r="W97" s="3"/>
      <c r="X97" s="3"/>
      <c r="Y97" s="445"/>
      <c r="Z97" s="1"/>
      <c r="AA97" s="1"/>
    </row>
    <row r="98" spans="1:27" ht="12.75">
      <c r="A98" s="3"/>
      <c r="B98" s="3"/>
      <c r="C98" s="3"/>
      <c r="D98" s="3"/>
      <c r="E98" s="3"/>
      <c r="F98" s="3"/>
      <c r="G98" s="3"/>
      <c r="H98" s="14"/>
      <c r="I98" s="3"/>
      <c r="J98" s="3"/>
      <c r="K98" s="3"/>
      <c r="L98" s="14"/>
      <c r="M98" s="3"/>
      <c r="N98" s="14"/>
      <c r="O98" s="3"/>
      <c r="P98" s="3"/>
      <c r="Q98" s="3"/>
      <c r="R98" s="1"/>
      <c r="S98" s="15"/>
      <c r="T98" s="15"/>
      <c r="U98" s="1"/>
      <c r="V98" s="1"/>
      <c r="W98" s="3"/>
      <c r="X98" s="3"/>
      <c r="Y98" s="445"/>
      <c r="Z98" s="1"/>
      <c r="AA98" s="1"/>
    </row>
    <row r="99" spans="1:27" ht="12.75">
      <c r="A99" s="3"/>
      <c r="B99" s="3"/>
      <c r="C99" s="3"/>
      <c r="D99" s="3"/>
      <c r="E99" s="3"/>
      <c r="F99" s="3"/>
      <c r="G99" s="3"/>
      <c r="H99" s="14"/>
      <c r="I99" s="3"/>
      <c r="J99" s="5"/>
      <c r="K99" s="3"/>
      <c r="L99" s="14"/>
      <c r="M99" s="5"/>
      <c r="N99" s="14"/>
      <c r="O99" s="5"/>
      <c r="P99" s="5"/>
      <c r="Q99" s="3"/>
      <c r="R99" s="1"/>
      <c r="S99" s="83"/>
      <c r="T99" s="83"/>
      <c r="U99" s="1"/>
      <c r="V99" s="1"/>
      <c r="W99" s="3"/>
      <c r="X99" s="3"/>
      <c r="Y99" s="27"/>
      <c r="Z99" s="1"/>
      <c r="AA99" s="1"/>
    </row>
    <row r="100" spans="1:27" ht="12.75">
      <c r="A100" s="3"/>
      <c r="B100" s="3"/>
      <c r="C100" s="3"/>
      <c r="D100" s="3"/>
      <c r="E100" s="3"/>
      <c r="F100" s="3"/>
      <c r="G100" s="3"/>
      <c r="H100" s="16"/>
      <c r="I100" s="3"/>
      <c r="J100" s="3"/>
      <c r="K100" s="3"/>
      <c r="L100" s="3"/>
      <c r="M100" s="3"/>
      <c r="N100" s="3"/>
      <c r="O100" s="3"/>
      <c r="P100" s="3"/>
      <c r="Q100" s="3"/>
      <c r="R100" s="1"/>
      <c r="S100" s="15"/>
      <c r="T100" s="15"/>
      <c r="U100" s="1"/>
      <c r="V100" s="1"/>
      <c r="W100" s="3"/>
      <c r="X100" s="3"/>
      <c r="Y100" s="1"/>
      <c r="Z100" s="1"/>
      <c r="AA100" s="1"/>
    </row>
    <row r="101" spans="1:27" ht="12.75">
      <c r="A101" s="3"/>
      <c r="B101" s="3"/>
      <c r="C101" s="13"/>
      <c r="D101" s="13"/>
      <c r="E101" s="3"/>
      <c r="F101" s="3"/>
      <c r="G101" s="17"/>
      <c r="H101" s="16"/>
      <c r="I101" s="3"/>
      <c r="J101" s="3"/>
      <c r="K101" s="3"/>
      <c r="L101" s="3"/>
      <c r="M101" s="3"/>
      <c r="N101" s="3"/>
      <c r="O101" s="3"/>
      <c r="P101" s="3"/>
      <c r="Q101" s="3"/>
      <c r="R101" s="1"/>
      <c r="S101" s="15"/>
      <c r="T101" s="15"/>
      <c r="U101" s="1"/>
      <c r="V101" s="1"/>
      <c r="W101" s="3"/>
      <c r="X101" s="3"/>
      <c r="Y101" s="1"/>
      <c r="Z101" s="1"/>
      <c r="AA101" s="1"/>
    </row>
    <row r="102" spans="1:27" ht="12.75">
      <c r="A102" s="3"/>
      <c r="B102" s="3"/>
      <c r="C102" s="18"/>
      <c r="D102" s="18"/>
      <c r="E102" s="3"/>
      <c r="F102" s="3"/>
      <c r="G102" s="17"/>
      <c r="H102" s="16"/>
      <c r="I102" s="3"/>
      <c r="J102" s="14"/>
      <c r="K102" s="3"/>
      <c r="L102" s="19"/>
      <c r="M102" s="5"/>
      <c r="N102" s="19"/>
      <c r="O102" s="3"/>
      <c r="P102" s="3"/>
      <c r="Q102" s="3"/>
      <c r="R102" s="1"/>
      <c r="S102" s="15"/>
      <c r="T102" s="15"/>
      <c r="U102" s="1"/>
      <c r="V102" s="1"/>
      <c r="W102" s="3"/>
      <c r="X102" s="3"/>
      <c r="Y102" s="1"/>
      <c r="Z102" s="1"/>
      <c r="AA102" s="1"/>
    </row>
    <row r="103" spans="1:27" ht="12.75">
      <c r="A103" s="3"/>
      <c r="B103" s="3"/>
      <c r="C103" s="3"/>
      <c r="D103" s="3"/>
      <c r="E103" s="3"/>
      <c r="F103" s="3"/>
      <c r="G103" s="3"/>
      <c r="H103" s="14"/>
      <c r="I103" s="3"/>
      <c r="J103" s="14"/>
      <c r="K103" s="3"/>
      <c r="L103" s="3"/>
      <c r="M103" s="5"/>
      <c r="N103" s="3"/>
      <c r="O103" s="3"/>
      <c r="P103" s="3"/>
      <c r="Q103" s="3"/>
      <c r="R103" s="1"/>
      <c r="S103" s="15"/>
      <c r="T103" s="15"/>
      <c r="U103" s="1"/>
      <c r="V103" s="1"/>
      <c r="W103" s="3"/>
      <c r="X103" s="3"/>
      <c r="Y103" s="1"/>
      <c r="Z103" s="1"/>
      <c r="AA103" s="1"/>
    </row>
    <row r="104" spans="1:27" ht="12.75">
      <c r="A104" s="3"/>
      <c r="B104" s="3"/>
      <c r="C104" s="3"/>
      <c r="D104" s="3"/>
      <c r="E104" s="3"/>
      <c r="F104" s="3"/>
      <c r="G104" s="3"/>
      <c r="H104" s="14"/>
      <c r="I104" s="3"/>
      <c r="J104" s="14"/>
      <c r="K104" s="3"/>
      <c r="L104" s="3"/>
      <c r="M104" s="5"/>
      <c r="N104" s="3"/>
      <c r="O104" s="3"/>
      <c r="P104" s="3"/>
      <c r="Q104" s="3"/>
      <c r="R104" s="1"/>
      <c r="S104" s="15"/>
      <c r="T104" s="15"/>
      <c r="U104" s="1"/>
      <c r="V104" s="1"/>
      <c r="W104" s="3"/>
      <c r="X104" s="3"/>
      <c r="Y104" s="1"/>
      <c r="Z104" s="1"/>
      <c r="AA104" s="1"/>
    </row>
    <row r="105" spans="1:27" ht="12.75">
      <c r="A105" s="3"/>
      <c r="B105" s="3"/>
      <c r="C105" s="3"/>
      <c r="D105" s="3"/>
      <c r="E105" s="3"/>
      <c r="F105" s="3"/>
      <c r="G105" s="3"/>
      <c r="H105" s="14"/>
      <c r="I105" s="3"/>
      <c r="J105" s="14"/>
      <c r="K105" s="3"/>
      <c r="L105" s="3"/>
      <c r="M105" s="5"/>
      <c r="N105" s="3"/>
      <c r="O105" s="3"/>
      <c r="P105" s="3"/>
      <c r="Q105" s="3"/>
      <c r="R105" s="1"/>
      <c r="S105" s="15"/>
      <c r="T105" s="15"/>
      <c r="U105" s="1"/>
      <c r="V105" s="1"/>
      <c r="W105" s="3"/>
      <c r="X105" s="3"/>
      <c r="Y105" s="2"/>
      <c r="Z105" s="1"/>
      <c r="AA105" s="1"/>
    </row>
    <row r="106" spans="1:27" ht="12.75">
      <c r="A106" s="3"/>
      <c r="B106" s="3"/>
      <c r="C106" s="3"/>
      <c r="D106" s="3"/>
      <c r="E106" s="3"/>
      <c r="F106" s="3"/>
      <c r="G106" s="3"/>
      <c r="H106" s="14"/>
      <c r="I106" s="3"/>
      <c r="J106" s="14"/>
      <c r="K106" s="3"/>
      <c r="L106" s="3"/>
      <c r="M106" s="5"/>
      <c r="N106" s="3"/>
      <c r="O106" s="3"/>
      <c r="P106" s="3"/>
      <c r="Q106" s="3"/>
      <c r="R106" s="1"/>
      <c r="S106" s="15"/>
      <c r="T106" s="15"/>
      <c r="U106" s="1"/>
      <c r="V106" s="1"/>
      <c r="W106" s="3"/>
      <c r="X106" s="3"/>
      <c r="Y106" s="1"/>
      <c r="Z106" s="1"/>
      <c r="AA106" s="1"/>
    </row>
    <row r="107" spans="1:27" ht="12.75">
      <c r="A107" s="3"/>
      <c r="B107" s="3"/>
      <c r="C107" s="3"/>
      <c r="D107" s="3"/>
      <c r="E107" s="3"/>
      <c r="F107" s="3"/>
      <c r="G107" s="3"/>
      <c r="H107" s="14"/>
      <c r="I107" s="3"/>
      <c r="J107" s="14"/>
      <c r="K107" s="3"/>
      <c r="L107" s="3"/>
      <c r="M107" s="5"/>
      <c r="N107" s="3"/>
      <c r="O107" s="3"/>
      <c r="P107" s="3"/>
      <c r="Q107" s="3"/>
      <c r="R107" s="1"/>
      <c r="S107" s="15"/>
      <c r="T107" s="15"/>
      <c r="U107" s="1"/>
      <c r="V107" s="1"/>
      <c r="W107" s="3"/>
      <c r="X107" s="3"/>
      <c r="Y107" s="1"/>
      <c r="Z107" s="1"/>
      <c r="AA107" s="1"/>
    </row>
    <row r="108" spans="1:27" ht="12.75">
      <c r="A108" s="3"/>
      <c r="B108" s="3"/>
      <c r="C108" s="3"/>
      <c r="D108" s="3"/>
      <c r="E108" s="3"/>
      <c r="F108" s="3"/>
      <c r="G108" s="3"/>
      <c r="H108" s="14"/>
      <c r="I108" s="3"/>
      <c r="J108" s="14"/>
      <c r="K108" s="3"/>
      <c r="L108" s="3"/>
      <c r="M108" s="5"/>
      <c r="N108" s="3"/>
      <c r="O108" s="3"/>
      <c r="P108" s="3"/>
      <c r="Q108" s="3"/>
      <c r="R108" s="1"/>
      <c r="S108" s="15"/>
      <c r="T108" s="15"/>
      <c r="U108" s="1"/>
      <c r="V108" s="1"/>
      <c r="W108" s="3"/>
      <c r="X108" s="3"/>
      <c r="Y108" s="1"/>
      <c r="Z108" s="1"/>
      <c r="AA108" s="1"/>
    </row>
    <row r="109" spans="1:27" ht="12.75">
      <c r="A109" s="3"/>
      <c r="B109" s="3"/>
      <c r="C109" s="3"/>
      <c r="D109" s="3"/>
      <c r="E109" s="3"/>
      <c r="F109" s="3"/>
      <c r="G109" s="3"/>
      <c r="H109" s="14"/>
      <c r="I109" s="3"/>
      <c r="J109" s="14"/>
      <c r="K109" s="3"/>
      <c r="L109" s="3"/>
      <c r="M109" s="5"/>
      <c r="N109" s="3"/>
      <c r="O109" s="3"/>
      <c r="P109" s="3"/>
      <c r="Q109" s="3"/>
      <c r="R109" s="1"/>
      <c r="S109" s="15"/>
      <c r="T109" s="15"/>
      <c r="U109" s="1"/>
      <c r="V109" s="1"/>
      <c r="W109" s="3"/>
      <c r="X109" s="3"/>
      <c r="Y109" s="1"/>
      <c r="Z109" s="1"/>
      <c r="AA109" s="1"/>
    </row>
    <row r="110" spans="1:27" ht="12.75">
      <c r="A110" s="3"/>
      <c r="B110" s="3"/>
      <c r="C110" s="3"/>
      <c r="D110" s="3"/>
      <c r="E110" s="3"/>
      <c r="F110" s="3"/>
      <c r="G110" s="3"/>
      <c r="H110" s="14"/>
      <c r="I110" s="3"/>
      <c r="J110" s="14"/>
      <c r="K110" s="3"/>
      <c r="L110" s="3"/>
      <c r="M110" s="5"/>
      <c r="N110" s="3"/>
      <c r="O110" s="3"/>
      <c r="P110" s="3"/>
      <c r="Q110" s="3"/>
      <c r="R110" s="1"/>
      <c r="S110" s="15"/>
      <c r="T110" s="15"/>
      <c r="U110" s="1"/>
      <c r="V110" s="1"/>
      <c r="W110" s="3"/>
      <c r="X110" s="3"/>
      <c r="Y110" s="1"/>
      <c r="Z110" s="1"/>
      <c r="AA110" s="1"/>
    </row>
    <row r="111" spans="1:27" ht="12.75">
      <c r="A111" s="3"/>
      <c r="B111" s="3"/>
      <c r="C111" s="3"/>
      <c r="D111" s="3"/>
      <c r="E111" s="3"/>
      <c r="F111" s="3"/>
      <c r="G111" s="3"/>
      <c r="H111" s="14"/>
      <c r="I111" s="3"/>
      <c r="J111" s="14"/>
      <c r="K111" s="3"/>
      <c r="L111" s="3"/>
      <c r="M111" s="5"/>
      <c r="N111" s="3"/>
      <c r="O111" s="3"/>
      <c r="P111" s="3"/>
      <c r="Q111" s="3"/>
      <c r="R111" s="1"/>
      <c r="S111" s="15"/>
      <c r="T111" s="15"/>
      <c r="U111" s="1"/>
      <c r="V111" s="1"/>
      <c r="W111" s="3"/>
      <c r="X111" s="3"/>
      <c r="Y111" s="1"/>
      <c r="Z111" s="1"/>
      <c r="AA111" s="1"/>
    </row>
    <row r="112" spans="1:27" ht="12.75">
      <c r="A112" s="3"/>
      <c r="B112" s="3"/>
      <c r="C112" s="3"/>
      <c r="D112" s="3"/>
      <c r="E112" s="3"/>
      <c r="F112" s="3"/>
      <c r="G112" s="3"/>
      <c r="H112" s="14"/>
      <c r="I112" s="3"/>
      <c r="J112" s="14"/>
      <c r="K112" s="3"/>
      <c r="L112" s="3"/>
      <c r="M112" s="5"/>
      <c r="N112" s="3"/>
      <c r="O112" s="3"/>
      <c r="P112" s="3"/>
      <c r="Q112" s="3"/>
      <c r="R112" s="1"/>
      <c r="S112" s="15"/>
      <c r="T112" s="15"/>
      <c r="U112" s="1"/>
      <c r="V112" s="1"/>
      <c r="W112" s="3"/>
      <c r="X112" s="3"/>
      <c r="Y112" s="1"/>
      <c r="Z112" s="1"/>
      <c r="AA112" s="1"/>
    </row>
    <row r="113" spans="1:27" ht="12.75">
      <c r="A113" s="3"/>
      <c r="B113" s="3"/>
      <c r="C113" s="3"/>
      <c r="D113" s="3"/>
      <c r="E113" s="3"/>
      <c r="F113" s="3"/>
      <c r="G113" s="3"/>
      <c r="H113" s="14"/>
      <c r="I113" s="3"/>
      <c r="J113" s="14"/>
      <c r="K113" s="3"/>
      <c r="L113" s="3"/>
      <c r="M113" s="5"/>
      <c r="N113" s="3"/>
      <c r="O113" s="3"/>
      <c r="P113" s="3"/>
      <c r="Q113" s="3"/>
      <c r="R113" s="1"/>
      <c r="S113" s="15"/>
      <c r="T113" s="15"/>
      <c r="U113" s="1"/>
      <c r="V113" s="1"/>
      <c r="W113" s="3"/>
      <c r="X113" s="3"/>
      <c r="Y113" s="1"/>
      <c r="Z113" s="1"/>
      <c r="AA113" s="1"/>
    </row>
    <row r="114" spans="1:27" ht="12.75">
      <c r="A114" s="3"/>
      <c r="B114" s="3"/>
      <c r="C114" s="3"/>
      <c r="D114" s="3"/>
      <c r="E114" s="3"/>
      <c r="F114" s="3"/>
      <c r="G114" s="3"/>
      <c r="H114" s="16"/>
      <c r="I114" s="3"/>
      <c r="J114" s="3"/>
      <c r="K114" s="3"/>
      <c r="L114" s="3"/>
      <c r="M114" s="5"/>
      <c r="N114" s="3"/>
      <c r="O114" s="3"/>
      <c r="P114" s="3"/>
      <c r="Q114" s="3"/>
      <c r="R114" s="1"/>
      <c r="S114" s="15"/>
      <c r="T114" s="15"/>
      <c r="U114" s="1"/>
      <c r="V114" s="1"/>
      <c r="W114" s="3"/>
      <c r="X114" s="3"/>
      <c r="Y114" s="1"/>
      <c r="Z114" s="1"/>
      <c r="AA114" s="1"/>
    </row>
    <row r="115" spans="1:27" ht="12.75">
      <c r="A115" s="3"/>
      <c r="B115" s="3"/>
      <c r="C115" s="3"/>
      <c r="D115" s="3"/>
      <c r="E115" s="3"/>
      <c r="F115" s="3"/>
      <c r="G115" s="3"/>
      <c r="H115" s="16"/>
      <c r="I115" s="3"/>
      <c r="J115" s="3"/>
      <c r="K115" s="3"/>
      <c r="L115" s="3"/>
      <c r="M115" s="5"/>
      <c r="N115" s="3"/>
      <c r="O115" s="3"/>
      <c r="P115" s="3"/>
      <c r="Q115" s="3"/>
      <c r="R115" s="1"/>
      <c r="S115" s="15"/>
      <c r="T115" s="15"/>
      <c r="U115" s="1"/>
      <c r="V115" s="1"/>
      <c r="W115" s="3"/>
      <c r="X115" s="3"/>
      <c r="Y115" s="1"/>
      <c r="Z115" s="1"/>
      <c r="AA115" s="1"/>
    </row>
    <row r="116" spans="1:27" ht="12.75">
      <c r="A116" s="3"/>
      <c r="B116" s="3"/>
      <c r="C116" s="13"/>
      <c r="D116" s="13"/>
      <c r="E116" s="3"/>
      <c r="F116" s="3"/>
      <c r="G116" s="3"/>
      <c r="H116" s="14"/>
      <c r="I116" s="3"/>
      <c r="J116" s="14"/>
      <c r="K116" s="3"/>
      <c r="L116" s="3"/>
      <c r="M116" s="5"/>
      <c r="N116" s="3"/>
      <c r="O116" s="3"/>
      <c r="P116" s="3"/>
      <c r="Q116" s="3"/>
      <c r="R116" s="1"/>
      <c r="S116" s="15"/>
      <c r="T116" s="15"/>
      <c r="U116" s="1"/>
      <c r="V116" s="1"/>
      <c r="W116" s="3"/>
      <c r="X116" s="3"/>
      <c r="Y116" s="1"/>
      <c r="Z116" s="1"/>
      <c r="AA116" s="1"/>
    </row>
    <row r="117" spans="1:27" ht="12.75">
      <c r="A117" s="3"/>
      <c r="B117" s="3"/>
      <c r="C117" s="115"/>
      <c r="D117" s="115"/>
      <c r="E117" s="7"/>
      <c r="F117" s="7"/>
      <c r="G117" s="7"/>
      <c r="H117" s="7"/>
      <c r="I117" s="7"/>
      <c r="J117" s="7"/>
      <c r="K117" s="7"/>
      <c r="L117" s="7"/>
      <c r="M117" s="7"/>
      <c r="N117" s="116"/>
      <c r="O117" s="7"/>
      <c r="P117" s="7"/>
      <c r="Q117" s="7"/>
      <c r="R117" s="7"/>
      <c r="S117" s="7"/>
      <c r="T117" s="7"/>
      <c r="U117" s="7"/>
      <c r="V117" s="3"/>
      <c r="W117" s="3"/>
      <c r="X117" s="3"/>
      <c r="Y117" s="1"/>
      <c r="Z117" s="1"/>
      <c r="AA117" s="1"/>
    </row>
    <row r="118" spans="1:27" ht="12.75">
      <c r="A118" s="3"/>
      <c r="B118" s="3"/>
      <c r="C118" s="115"/>
      <c r="D118" s="115"/>
      <c r="E118" s="7"/>
      <c r="F118" s="7"/>
      <c r="G118" s="7"/>
      <c r="H118" s="7"/>
      <c r="I118" s="7"/>
      <c r="J118" s="7"/>
      <c r="K118" s="7"/>
      <c r="L118" s="7"/>
      <c r="M118" s="7"/>
      <c r="N118" s="116"/>
      <c r="O118" s="7"/>
      <c r="P118" s="7"/>
      <c r="Q118" s="7"/>
      <c r="R118" s="7"/>
      <c r="S118" s="7"/>
      <c r="T118" s="7"/>
      <c r="U118" s="7"/>
      <c r="V118" s="1"/>
      <c r="W118" s="3"/>
      <c r="X118" s="3"/>
      <c r="Y118" s="1"/>
      <c r="Z118" s="1"/>
      <c r="AA118" s="1"/>
    </row>
    <row r="119" spans="1:27" ht="15">
      <c r="A119" s="3"/>
      <c r="B119" s="3"/>
      <c r="C119" s="117"/>
      <c r="D119" s="119"/>
      <c r="E119" s="115"/>
      <c r="F119" s="118"/>
      <c r="G119" s="118"/>
      <c r="H119" s="118"/>
      <c r="I119" s="7"/>
      <c r="J119" s="7"/>
      <c r="K119" s="7"/>
      <c r="L119" s="7"/>
      <c r="M119" s="7"/>
      <c r="N119" s="7"/>
      <c r="O119" s="7"/>
      <c r="P119" s="7"/>
      <c r="Q119" s="7"/>
      <c r="R119" s="98"/>
      <c r="S119" s="120"/>
      <c r="T119" s="7"/>
      <c r="U119" s="7"/>
      <c r="V119" s="1"/>
      <c r="W119" s="3"/>
      <c r="X119" s="3"/>
      <c r="Y119" s="1"/>
      <c r="Z119" s="1"/>
      <c r="AA119" s="1"/>
    </row>
    <row r="120" spans="1:27" ht="12.75">
      <c r="A120" s="3"/>
      <c r="B120" s="3"/>
      <c r="C120" s="7"/>
      <c r="D120" s="7"/>
      <c r="E120" s="7"/>
      <c r="F120" s="7"/>
      <c r="G120" s="7"/>
      <c r="H120" s="7"/>
      <c r="I120" s="7"/>
      <c r="J120" s="7"/>
      <c r="K120" s="7"/>
      <c r="L120" s="7"/>
      <c r="M120" s="7"/>
      <c r="N120" s="7"/>
      <c r="O120" s="7"/>
      <c r="P120" s="7"/>
      <c r="Q120" s="7"/>
      <c r="R120" s="98"/>
      <c r="S120" s="20"/>
      <c r="T120" s="7"/>
      <c r="U120" s="7"/>
      <c r="V120" s="1"/>
      <c r="W120" s="3"/>
      <c r="X120" s="3"/>
      <c r="Y120" s="1"/>
      <c r="Z120" s="1"/>
      <c r="AA120" s="1"/>
    </row>
    <row r="121" spans="1:27" ht="12.75">
      <c r="A121" s="3"/>
      <c r="B121" s="3"/>
      <c r="C121" s="7"/>
      <c r="D121" s="7"/>
      <c r="E121" s="7"/>
      <c r="F121" s="7"/>
      <c r="G121" s="7"/>
      <c r="H121" s="7"/>
      <c r="I121" s="7"/>
      <c r="J121" s="7"/>
      <c r="K121" s="7"/>
      <c r="L121" s="7"/>
      <c r="M121" s="7"/>
      <c r="N121" s="7"/>
      <c r="O121" s="7"/>
      <c r="P121" s="7"/>
      <c r="Q121" s="7"/>
      <c r="R121" s="98"/>
      <c r="S121" s="121"/>
      <c r="T121" s="7"/>
      <c r="U121" s="7"/>
      <c r="V121" s="1"/>
      <c r="W121" s="3"/>
      <c r="X121" s="3"/>
      <c r="Y121" s="1"/>
      <c r="Z121" s="1"/>
      <c r="AA121" s="1"/>
    </row>
    <row r="122" spans="1:27" ht="12.75">
      <c r="A122" s="3"/>
      <c r="B122" s="3"/>
      <c r="C122" s="7"/>
      <c r="D122" s="7"/>
      <c r="E122" s="7"/>
      <c r="F122" s="7"/>
      <c r="G122" s="7"/>
      <c r="H122" s="7"/>
      <c r="I122" s="7"/>
      <c r="J122" s="7"/>
      <c r="K122" s="7"/>
      <c r="L122" s="7"/>
      <c r="M122" s="7"/>
      <c r="N122" s="7"/>
      <c r="O122" s="7"/>
      <c r="P122" s="7"/>
      <c r="Q122" s="7"/>
      <c r="R122" s="98"/>
      <c r="S122" s="20"/>
      <c r="T122" s="7"/>
      <c r="U122" s="7"/>
      <c r="V122" s="1"/>
      <c r="W122" s="3"/>
      <c r="X122" s="3"/>
      <c r="Y122" s="1"/>
      <c r="Z122" s="1"/>
      <c r="AA122" s="1"/>
    </row>
    <row r="123" spans="1:27" ht="12.75">
      <c r="A123" s="3"/>
      <c r="B123" s="3"/>
      <c r="C123" s="7"/>
      <c r="D123" s="7"/>
      <c r="E123" s="7"/>
      <c r="F123" s="7"/>
      <c r="G123" s="7"/>
      <c r="H123" s="7"/>
      <c r="I123" s="7"/>
      <c r="J123" s="7"/>
      <c r="K123" s="7"/>
      <c r="L123" s="7"/>
      <c r="M123" s="7"/>
      <c r="N123" s="7"/>
      <c r="O123" s="7"/>
      <c r="P123" s="7"/>
      <c r="Q123" s="7"/>
      <c r="R123" s="98"/>
      <c r="S123" s="121"/>
      <c r="T123" s="7"/>
      <c r="U123" s="7"/>
      <c r="V123" s="1"/>
      <c r="W123" s="3"/>
      <c r="X123" s="3"/>
      <c r="Y123" s="1"/>
      <c r="Z123" s="1"/>
      <c r="AA123" s="1"/>
    </row>
    <row r="124" spans="1:27" ht="12.75">
      <c r="A124" s="3"/>
      <c r="B124" s="3"/>
      <c r="C124" s="7"/>
      <c r="D124" s="7"/>
      <c r="E124" s="7"/>
      <c r="F124" s="7"/>
      <c r="G124" s="7"/>
      <c r="H124" s="7"/>
      <c r="I124" s="7"/>
      <c r="J124" s="7"/>
      <c r="K124" s="7"/>
      <c r="L124" s="7"/>
      <c r="M124" s="7"/>
      <c r="N124" s="7"/>
      <c r="O124" s="7"/>
      <c r="P124" s="7"/>
      <c r="Q124" s="7"/>
      <c r="R124" s="7"/>
      <c r="S124" s="7"/>
      <c r="T124" s="7"/>
      <c r="U124" s="7"/>
      <c r="V124" s="3"/>
      <c r="W124" s="3"/>
      <c r="X124" s="3"/>
      <c r="Y124" s="1"/>
      <c r="Z124" s="1"/>
      <c r="AA124" s="1"/>
    </row>
    <row r="125" spans="1:27"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sheetData>
  <sheetProtection password="9C19" sheet="1" objects="1" scenarios="1" selectLockedCells="1"/>
  <mergeCells count="13">
    <mergeCell ref="Y97:Y98"/>
    <mergeCell ref="C29:D29"/>
    <mergeCell ref="C31:D31"/>
    <mergeCell ref="M21:N21"/>
    <mergeCell ref="Y7:Y9"/>
    <mergeCell ref="I18:L18"/>
    <mergeCell ref="N18:Q18"/>
    <mergeCell ref="C33:D33"/>
    <mergeCell ref="F12:H12"/>
    <mergeCell ref="L12:N12"/>
    <mergeCell ref="R12:T12"/>
    <mergeCell ref="I16:L16"/>
    <mergeCell ref="N16:Q16"/>
  </mergeCells>
  <conditionalFormatting sqref="D119 S42:T116 N18 I18:L18 N16 I16:L16">
    <cfRule type="cellIs" priority="1" dxfId="2" operator="equal" stopIfTrue="1">
      <formula>0</formula>
    </cfRule>
  </conditionalFormatting>
  <conditionalFormatting sqref="M21:N21">
    <cfRule type="cellIs" priority="2" dxfId="3" operator="equal" stopIfTrue="1">
      <formula>0</formula>
    </cfRule>
  </conditionalFormatting>
  <printOptions/>
  <pageMargins left="0.75" right="0.75" top="1" bottom="1" header="0.4921259845" footer="0.492125984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Feuil6"/>
  <dimension ref="A1:Z112"/>
  <sheetViews>
    <sheetView zoomScalePageLayoutView="0" workbookViewId="0" topLeftCell="A55">
      <selection activeCell="H53" sqref="H53"/>
    </sheetView>
  </sheetViews>
  <sheetFormatPr defaultColWidth="11.421875" defaultRowHeight="12.75"/>
  <cols>
    <col min="1" max="2" width="4.7109375" style="0" customWidth="1"/>
    <col min="3" max="3" width="3.7109375" style="0" customWidth="1"/>
    <col min="4" max="4" width="4.7109375" style="0" customWidth="1"/>
    <col min="5" max="9" width="6.7109375" style="0" customWidth="1"/>
    <col min="10" max="10" width="1.7109375" style="0" customWidth="1"/>
    <col min="11" max="11" width="4.7109375" style="0" customWidth="1"/>
    <col min="12" max="12" width="5.7109375" style="0" customWidth="1"/>
    <col min="13" max="16" width="6.7109375" style="0" customWidth="1"/>
    <col min="17" max="17" width="1.7109375" style="0" customWidth="1"/>
    <col min="18" max="18" width="4.7109375" style="0" customWidth="1"/>
    <col min="19" max="19" width="5.7109375" style="0" customWidth="1"/>
    <col min="20" max="22" width="6.7109375" style="0" customWidth="1"/>
    <col min="23" max="23" width="5.7109375" style="0" customWidth="1"/>
    <col min="24" max="24" width="6.7109375" style="0" customWidth="1"/>
    <col min="25" max="25" width="3.7109375" style="0" customWidth="1"/>
  </cols>
  <sheetData>
    <row r="1" spans="1:26" ht="12.75">
      <c r="A1" s="1"/>
      <c r="B1" s="1"/>
      <c r="C1" s="1"/>
      <c r="D1" s="1"/>
      <c r="E1" s="1"/>
      <c r="F1" s="184" t="s">
        <v>386</v>
      </c>
      <c r="G1" s="1"/>
      <c r="H1" s="1"/>
      <c r="I1" s="1"/>
      <c r="J1" s="1"/>
      <c r="K1" s="1"/>
      <c r="L1" s="1"/>
      <c r="M1" s="184" t="s">
        <v>393</v>
      </c>
      <c r="N1" s="1"/>
      <c r="O1" s="1"/>
      <c r="P1" s="1"/>
      <c r="Q1" s="1"/>
      <c r="R1" s="1"/>
      <c r="S1" s="1"/>
      <c r="T1" s="184" t="s">
        <v>394</v>
      </c>
      <c r="U1" s="1"/>
      <c r="V1" s="1"/>
      <c r="W1" s="1"/>
      <c r="X1" s="1"/>
      <c r="Y1" s="1"/>
      <c r="Z1" s="1"/>
    </row>
    <row r="2" spans="1:26" ht="12.75">
      <c r="A2" s="205">
        <f>Dimensions!A23</f>
        <v>1</v>
      </c>
      <c r="B2" s="213">
        <v>31</v>
      </c>
      <c r="C2" s="1"/>
      <c r="D2" s="1"/>
      <c r="E2" s="1"/>
      <c r="F2" s="184"/>
      <c r="G2" s="1"/>
      <c r="H2" s="1"/>
      <c r="I2" s="1"/>
      <c r="J2" s="1"/>
      <c r="K2" s="1"/>
      <c r="L2" s="1"/>
      <c r="M2" s="184"/>
      <c r="N2" s="1"/>
      <c r="O2" s="1"/>
      <c r="P2" s="1"/>
      <c r="Q2" s="1"/>
      <c r="R2" s="1"/>
      <c r="S2" s="1"/>
      <c r="T2" s="184"/>
      <c r="U2" s="1"/>
      <c r="V2" s="1"/>
      <c r="W2" s="1"/>
      <c r="X2" s="1"/>
      <c r="Y2" s="1"/>
      <c r="Z2" s="1"/>
    </row>
    <row r="3" spans="1:26" ht="12.75">
      <c r="A3" s="206">
        <f>Dimensions!A24</f>
        <v>0</v>
      </c>
      <c r="B3" s="213">
        <v>32</v>
      </c>
      <c r="C3" s="1"/>
      <c r="D3" s="1"/>
      <c r="E3" s="1"/>
      <c r="F3" s="181" t="s">
        <v>392</v>
      </c>
      <c r="G3" s="1"/>
      <c r="H3" s="181" t="s">
        <v>391</v>
      </c>
      <c r="I3" s="181"/>
      <c r="J3" s="1"/>
      <c r="K3" s="1"/>
      <c r="L3" s="1"/>
      <c r="M3" s="181" t="s">
        <v>392</v>
      </c>
      <c r="N3" s="1"/>
      <c r="O3" s="181" t="s">
        <v>391</v>
      </c>
      <c r="P3" s="181"/>
      <c r="Q3" s="1"/>
      <c r="R3" s="1"/>
      <c r="S3" s="1"/>
      <c r="T3" s="181" t="s">
        <v>392</v>
      </c>
      <c r="U3" s="1"/>
      <c r="V3" s="181" t="s">
        <v>391</v>
      </c>
      <c r="W3" s="1"/>
      <c r="X3" s="1"/>
      <c r="Y3" s="1"/>
      <c r="Z3" s="1"/>
    </row>
    <row r="4" spans="1:26" ht="12.75">
      <c r="A4" s="207">
        <f>Dimensions!A25</f>
        <v>0</v>
      </c>
      <c r="B4" s="213">
        <v>33</v>
      </c>
      <c r="C4" s="1"/>
      <c r="D4" s="1" t="s">
        <v>338</v>
      </c>
      <c r="E4" s="180">
        <f>Dimensions!G15*Dimensions!G17</f>
        <v>0</v>
      </c>
      <c r="F4" s="182">
        <f>IF(A3=1,E4,0)</f>
        <v>0</v>
      </c>
      <c r="G4" s="182">
        <f>B24*B26</f>
        <v>0.12249999999999998</v>
      </c>
      <c r="H4" s="182">
        <f>IF(A3=1,G4,0)</f>
        <v>0</v>
      </c>
      <c r="I4" s="182"/>
      <c r="J4" s="1"/>
      <c r="K4" s="1"/>
      <c r="L4" s="180">
        <f>Dimensions!M15*Dimensions!M17</f>
        <v>0</v>
      </c>
      <c r="M4" s="182">
        <f>IF(Dimensions!$A27=1,L4,0)</f>
        <v>0</v>
      </c>
      <c r="N4" s="182">
        <f>L24*L26</f>
        <v>0.12249999999999998</v>
      </c>
      <c r="O4" s="182">
        <f>IF(A6=1,N4,0)</f>
        <v>0</v>
      </c>
      <c r="P4" s="182"/>
      <c r="Q4" s="1"/>
      <c r="R4" s="1"/>
      <c r="S4" s="180">
        <f>Dimensions!S15*Dimensions!S17</f>
        <v>0</v>
      </c>
      <c r="T4" s="182">
        <f>IF(Dimensions!$A30=1,S4,0)</f>
        <v>0</v>
      </c>
      <c r="U4" s="182">
        <f>S24*S26</f>
        <v>0.12249999999999998</v>
      </c>
      <c r="V4" s="182">
        <f>IF(A9=1,U4,0)</f>
        <v>0</v>
      </c>
      <c r="W4" s="1"/>
      <c r="X4" s="1"/>
      <c r="Y4" s="1"/>
      <c r="Z4" s="1"/>
    </row>
    <row r="5" spans="1:26" ht="12.75">
      <c r="A5" s="205">
        <f>Dimensions!A26</f>
        <v>1</v>
      </c>
      <c r="B5" s="213">
        <v>34</v>
      </c>
      <c r="C5" s="1"/>
      <c r="D5" s="1" t="s">
        <v>339</v>
      </c>
      <c r="E5" s="180">
        <f>(Dimensions!G15*Dimensions!G17)-(Dimensions!G21*Dimensions!G23)</f>
        <v>0</v>
      </c>
      <c r="F5" s="182">
        <f>IF(A3=2,E5,0)</f>
        <v>0</v>
      </c>
      <c r="G5" s="182">
        <f>(B24*B26)-(B30*B32)</f>
        <v>0.12249999999999998</v>
      </c>
      <c r="H5" s="182">
        <f>IF(A3=2,G5,0)</f>
        <v>0</v>
      </c>
      <c r="I5" s="182"/>
      <c r="J5" s="1"/>
      <c r="K5" s="1"/>
      <c r="L5" s="180">
        <f>(Dimensions!M15*Dimensions!M17)-(Dimensions!M21*Dimensions!M23)</f>
        <v>0</v>
      </c>
      <c r="M5" s="182">
        <f>IF(Dimensions!$A27=2,L5,0)</f>
        <v>0</v>
      </c>
      <c r="N5" s="182">
        <f>(L24*L26)-(L30*L32)</f>
        <v>0.12249999999999998</v>
      </c>
      <c r="O5" s="182">
        <f>IF(A6=2,N5,0)</f>
        <v>0</v>
      </c>
      <c r="P5" s="182"/>
      <c r="Q5" s="1"/>
      <c r="R5" s="1"/>
      <c r="S5" s="180">
        <f>(Dimensions!S15*Dimensions!S17)-(Dimensions!S21*Dimensions!S23)</f>
        <v>0</v>
      </c>
      <c r="T5" s="182">
        <f>IF(Dimensions!$A30=2,S5,0)</f>
        <v>0</v>
      </c>
      <c r="U5" s="182">
        <f>(S24*S26)-(S30*S32)</f>
        <v>0.12249999999999998</v>
      </c>
      <c r="V5" s="182">
        <f>IF(A9=2,U5,0)</f>
        <v>0</v>
      </c>
      <c r="W5" s="1"/>
      <c r="X5" s="1"/>
      <c r="Y5" s="1"/>
      <c r="Z5" s="1"/>
    </row>
    <row r="6" spans="1:26" ht="12.75">
      <c r="A6" s="206">
        <f>Dimensions!A27</f>
        <v>0</v>
      </c>
      <c r="B6" s="213">
        <v>35</v>
      </c>
      <c r="C6" s="1"/>
      <c r="D6" s="1" t="s">
        <v>340</v>
      </c>
      <c r="E6" s="180">
        <f>(Dimensions!G15*Dimensions!G17)-(Dimensions!G21*Dimensions!G23*0.5)</f>
        <v>0</v>
      </c>
      <c r="F6" s="182">
        <f>IF(A3=3,E6,0)</f>
        <v>0</v>
      </c>
      <c r="G6" s="182">
        <f>(B24*B26)-(B30*B32*0.5)</f>
        <v>0.12249999999999998</v>
      </c>
      <c r="H6" s="182">
        <f>IF(A3=3,G6,0)</f>
        <v>0</v>
      </c>
      <c r="I6" s="182"/>
      <c r="J6" s="1"/>
      <c r="K6" s="1"/>
      <c r="L6" s="180">
        <f>(Dimensions!M15*Dimensions!M17)-(Dimensions!M21*Dimensions!M23*0.5)</f>
        <v>0</v>
      </c>
      <c r="M6" s="182">
        <f>IF(Dimensions!$A27=3,L6,0)</f>
        <v>0</v>
      </c>
      <c r="N6" s="182">
        <f>(L24*L26)-(L30*L32*0.5)</f>
        <v>0.12249999999999998</v>
      </c>
      <c r="O6" s="182">
        <f>IF(A6=3,N6,0)</f>
        <v>0</v>
      </c>
      <c r="P6" s="182"/>
      <c r="Q6" s="1"/>
      <c r="R6" s="1"/>
      <c r="S6" s="180">
        <f>(Dimensions!S15*Dimensions!S17)-(Dimensions!S21*Dimensions!S23*0.5)</f>
        <v>0</v>
      </c>
      <c r="T6" s="182">
        <f>IF(Dimensions!$A30=3,S6,0)</f>
        <v>0</v>
      </c>
      <c r="U6" s="182">
        <f>(S24*S26)-(S30*S32*0.5)</f>
        <v>0.12249999999999998</v>
      </c>
      <c r="V6" s="182">
        <f>IF(A9=3,U6,0)</f>
        <v>0</v>
      </c>
      <c r="W6" s="1"/>
      <c r="X6" s="1"/>
      <c r="Y6" s="1"/>
      <c r="Z6" s="1"/>
    </row>
    <row r="7" spans="1:26" ht="12.75">
      <c r="A7" s="207">
        <f>Dimensions!A28</f>
        <v>0</v>
      </c>
      <c r="B7" s="213">
        <v>36</v>
      </c>
      <c r="C7" s="1"/>
      <c r="D7" s="1" t="s">
        <v>341</v>
      </c>
      <c r="E7" s="180">
        <f>(Dimensions!G15*Dimensions!G17)-(Dimensions!G21*Dimensions!G23)</f>
        <v>0</v>
      </c>
      <c r="F7" s="182">
        <f>IF(A3=4,E7,0)</f>
        <v>0</v>
      </c>
      <c r="G7" s="182">
        <f>(B24*B26)-(B30*B32)</f>
        <v>0.12249999999999998</v>
      </c>
      <c r="H7" s="182">
        <f>IF(A3=4,G7,0)</f>
        <v>0</v>
      </c>
      <c r="I7" s="182"/>
      <c r="J7" s="1"/>
      <c r="K7" s="1"/>
      <c r="L7" s="180">
        <f>(Dimensions!M15*Dimensions!M17)-(Dimensions!M21*Dimensions!M23)</f>
        <v>0</v>
      </c>
      <c r="M7" s="182">
        <f>IF(Dimensions!$A27=4,L7,0)</f>
        <v>0</v>
      </c>
      <c r="N7" s="182">
        <f>(L24*L26)-(L30*L32)</f>
        <v>0.12249999999999998</v>
      </c>
      <c r="O7" s="182">
        <f>IF(A6=4,N7,0)</f>
        <v>0</v>
      </c>
      <c r="P7" s="182"/>
      <c r="Q7" s="1"/>
      <c r="R7" s="1"/>
      <c r="S7" s="180">
        <f>(Dimensions!S15*Dimensions!S17)-(Dimensions!S21*Dimensions!S23)</f>
        <v>0</v>
      </c>
      <c r="T7" s="182">
        <f>IF(Dimensions!$A30=4,S7,0)</f>
        <v>0</v>
      </c>
      <c r="U7" s="182">
        <f>(S24*S26)-(S30*S32)</f>
        <v>0.12249999999999998</v>
      </c>
      <c r="V7" s="182">
        <f>IF(A9=4,U7,0)</f>
        <v>0</v>
      </c>
      <c r="W7" s="1"/>
      <c r="X7" s="1"/>
      <c r="Y7" s="1"/>
      <c r="Z7" s="1"/>
    </row>
    <row r="8" spans="1:26" ht="12.75">
      <c r="A8" s="205">
        <f>Dimensions!A29</f>
        <v>1</v>
      </c>
      <c r="B8" s="213">
        <v>37</v>
      </c>
      <c r="C8" s="1"/>
      <c r="D8" s="1" t="s">
        <v>342</v>
      </c>
      <c r="E8" s="180">
        <f>(0.5*(Dimensions!G15+Dimensions!G21))*(0.5*(Dimensions!G17+Dimensions!G23))</f>
        <v>0</v>
      </c>
      <c r="F8" s="182">
        <f>IF(A3=5,E8,0)</f>
        <v>0</v>
      </c>
      <c r="G8" s="182">
        <f>(0.5*(B24+B30))*(0.5*(B26+B32))</f>
        <v>0.030624999999999996</v>
      </c>
      <c r="H8" s="182">
        <f>IF(A3=5,G8,0)</f>
        <v>0</v>
      </c>
      <c r="I8" s="182"/>
      <c r="J8" s="1"/>
      <c r="K8" s="1"/>
      <c r="L8" s="180">
        <f>(0.5*(Dimensions!M15+Dimensions!M21))*(0.5*(Dimensions!M17+Dimensions!M23))</f>
        <v>0</v>
      </c>
      <c r="M8" s="182">
        <f>IF(Dimensions!$A27=5,L8,0)</f>
        <v>0</v>
      </c>
      <c r="N8" s="182">
        <f>(0.5*(L24+L30))*(0.5*(L26+L32))</f>
        <v>0.030624999999999996</v>
      </c>
      <c r="O8" s="182">
        <f>IF(A6=5,N8,0)</f>
        <v>0</v>
      </c>
      <c r="P8" s="182"/>
      <c r="Q8" s="1"/>
      <c r="R8" s="1"/>
      <c r="S8" s="180">
        <f>(0.5*(Dimensions!S15+Dimensions!S21))*(0.5*(Dimensions!S17+Dimensions!S23))</f>
        <v>0</v>
      </c>
      <c r="T8" s="182">
        <f>IF(Dimensions!$A30=5,S8,0)</f>
        <v>0</v>
      </c>
      <c r="U8" s="182">
        <f>(0.5*(S24+S30))*(0.5*(S26+S32))</f>
        <v>0.030624999999999996</v>
      </c>
      <c r="V8" s="182">
        <f>IF(A9=5,U8,0)</f>
        <v>0</v>
      </c>
      <c r="W8" s="1"/>
      <c r="X8" s="1"/>
      <c r="Y8" s="1"/>
      <c r="Z8" s="1"/>
    </row>
    <row r="9" spans="1:26" ht="12.75">
      <c r="A9" s="206">
        <f>Dimensions!A30</f>
        <v>0</v>
      </c>
      <c r="B9" s="213">
        <v>38</v>
      </c>
      <c r="C9" s="2"/>
      <c r="D9" s="184" t="s">
        <v>399</v>
      </c>
      <c r="E9" s="1"/>
      <c r="F9" s="183">
        <f>SUM(F4:F8)</f>
        <v>0</v>
      </c>
      <c r="G9" s="182"/>
      <c r="H9" s="183">
        <f>SUM(H4:H8)</f>
        <v>0</v>
      </c>
      <c r="I9" s="214" t="s">
        <v>80</v>
      </c>
      <c r="J9" s="1"/>
      <c r="K9" s="1"/>
      <c r="L9" s="1"/>
      <c r="M9" s="183">
        <f>SUM(M4:M8)</f>
        <v>0</v>
      </c>
      <c r="N9" s="182"/>
      <c r="O9" s="183">
        <f>SUM(O4:O8)</f>
        <v>0</v>
      </c>
      <c r="P9" s="214" t="s">
        <v>80</v>
      </c>
      <c r="Q9" s="1"/>
      <c r="R9" s="1"/>
      <c r="S9" s="1"/>
      <c r="T9" s="183">
        <f>SUM(T4:T8)</f>
        <v>0</v>
      </c>
      <c r="U9" s="182"/>
      <c r="V9" s="183">
        <f>SUM(V4:V8)</f>
        <v>0</v>
      </c>
      <c r="W9" s="214" t="s">
        <v>80</v>
      </c>
      <c r="X9" s="1"/>
      <c r="Y9" s="1"/>
      <c r="Z9" s="1"/>
    </row>
    <row r="10" spans="1:26" ht="12.75">
      <c r="A10" s="207">
        <f>Dimensions!A31</f>
        <v>0</v>
      </c>
      <c r="B10" s="213">
        <v>39</v>
      </c>
      <c r="C10" s="1"/>
      <c r="D10" s="1"/>
      <c r="E10" s="1"/>
      <c r="F10" s="182"/>
      <c r="G10" s="182"/>
      <c r="H10" s="182"/>
      <c r="I10" s="182"/>
      <c r="J10" s="1"/>
      <c r="K10" s="1"/>
      <c r="L10" s="1"/>
      <c r="M10" s="182"/>
      <c r="N10" s="182"/>
      <c r="O10" s="182"/>
      <c r="P10" s="182"/>
      <c r="Q10" s="1"/>
      <c r="R10" s="1"/>
      <c r="S10" s="1"/>
      <c r="T10" s="182"/>
      <c r="U10" s="182"/>
      <c r="V10" s="182"/>
      <c r="W10" s="1"/>
      <c r="X10" s="1"/>
      <c r="Y10" s="1"/>
      <c r="Z10" s="1"/>
    </row>
    <row r="11" spans="1:26" ht="12.75">
      <c r="A11" s="1"/>
      <c r="B11" s="1"/>
      <c r="C11" s="1"/>
      <c r="D11" s="1" t="s">
        <v>343</v>
      </c>
      <c r="E11" s="1">
        <f>F9*Dimensions!G19</f>
        <v>0</v>
      </c>
      <c r="F11" s="182">
        <f>IF(A4=1,E11,0)</f>
        <v>0</v>
      </c>
      <c r="G11" s="182">
        <f>H9*Dimensions!G19</f>
        <v>0</v>
      </c>
      <c r="H11" s="182">
        <f>IF(A4=1,G11,0)</f>
        <v>0</v>
      </c>
      <c r="I11" s="182"/>
      <c r="J11" s="1"/>
      <c r="K11" s="1"/>
      <c r="L11" s="1">
        <f>M9*Dimensions!M19</f>
        <v>0</v>
      </c>
      <c r="M11" s="182">
        <f>IF(A7=1,L11,0)</f>
        <v>0</v>
      </c>
      <c r="N11" s="182">
        <f>O9*Dimensions!M19</f>
        <v>0</v>
      </c>
      <c r="O11" s="182">
        <f>IF(A7=1,N11,0)</f>
        <v>0</v>
      </c>
      <c r="P11" s="182"/>
      <c r="Q11" s="1"/>
      <c r="R11" s="1"/>
      <c r="S11" s="1">
        <f>T9*Dimensions!S19</f>
        <v>0</v>
      </c>
      <c r="T11" s="182">
        <f>IF(A10=1,S11,0)</f>
        <v>0</v>
      </c>
      <c r="U11" s="182">
        <f>V9*Dimensions!S19</f>
        <v>0</v>
      </c>
      <c r="V11" s="182">
        <f>IF(A10=1,U11,0)</f>
        <v>0</v>
      </c>
      <c r="W11" s="1"/>
      <c r="X11" s="1"/>
      <c r="Y11" s="1"/>
      <c r="Z11" s="1"/>
    </row>
    <row r="12" spans="1:26" ht="12.75">
      <c r="A12" s="1"/>
      <c r="B12" s="1"/>
      <c r="C12" s="1"/>
      <c r="D12" s="1" t="s">
        <v>344</v>
      </c>
      <c r="E12" s="1">
        <f>IF(A4&gt;1,(F9*F69),(F9*Dimensions!G19))</f>
        <v>0</v>
      </c>
      <c r="F12" s="182">
        <f>IF(A4=2,E12,0)</f>
        <v>0</v>
      </c>
      <c r="G12" s="182">
        <f>IF(A4&gt;1,(H9*H69),(H9*Dimensions!G19))</f>
        <v>0</v>
      </c>
      <c r="H12" s="182">
        <f>IF(A4=2,G12,0)</f>
        <v>0</v>
      </c>
      <c r="I12" s="182"/>
      <c r="J12" s="1"/>
      <c r="K12" s="1"/>
      <c r="L12" s="1">
        <f>IF(A7&gt;1,(M9*(Dimensions!M19-((Dimensions!M19-Dimensions!M31)*0.5))),(M9*Dimensions!M19))</f>
        <v>0</v>
      </c>
      <c r="M12" s="182">
        <f>IF(A7=2,L12,0)</f>
        <v>0</v>
      </c>
      <c r="N12" s="182">
        <f>IF(A7&gt;1,(O9*O69),(O9*Dimensions!M19))</f>
        <v>0</v>
      </c>
      <c r="O12" s="182">
        <f>IF(A7=2,N12,0)</f>
        <v>0</v>
      </c>
      <c r="P12" s="182"/>
      <c r="Q12" s="1"/>
      <c r="R12" s="1"/>
      <c r="S12" s="1">
        <f>IF(A10&gt;1,(T9*(Dimensions!S19-((Dimensions!S19-Dimensions!S31)*0.5))),(T9*Dimensions!S19))</f>
        <v>0</v>
      </c>
      <c r="T12" s="182">
        <f>IF(A10=2,S12,0)</f>
        <v>0</v>
      </c>
      <c r="U12" s="182">
        <f>IF(A10&gt;1,(V9*V69),(V9*Dimensions!S19))</f>
        <v>0</v>
      </c>
      <c r="V12" s="182">
        <f>IF(A10=2,U12,0)</f>
        <v>0</v>
      </c>
      <c r="W12" s="1"/>
      <c r="X12" s="1"/>
      <c r="Y12" s="1"/>
      <c r="Z12" s="1"/>
    </row>
    <row r="13" spans="1:26" ht="12.75">
      <c r="A13" s="1"/>
      <c r="B13" s="1"/>
      <c r="C13" s="1"/>
      <c r="D13" s="1" t="s">
        <v>345</v>
      </c>
      <c r="E13" s="1">
        <f>IF(A4&gt;1,(F9*F70),(F9*Dimensions!G19))</f>
        <v>0</v>
      </c>
      <c r="F13" s="182">
        <f>IF(A4=3,E13,0)</f>
        <v>0</v>
      </c>
      <c r="G13" s="182">
        <f>IF(A4&gt;1,(H9*H70),(H9*Dimensions!G19))</f>
        <v>0</v>
      </c>
      <c r="H13" s="182">
        <f>IF(A4=3,G13,0)</f>
        <v>0</v>
      </c>
      <c r="I13" s="182"/>
      <c r="J13" s="1"/>
      <c r="K13" s="1"/>
      <c r="L13" s="1">
        <f>IF(A7&gt;1,(M9*(Dimensions!M19-((Dimensions!M19-Dimensions!M31)*0.5))),(M9*Dimensions!M19))</f>
        <v>0</v>
      </c>
      <c r="M13" s="182">
        <f>IF(A7=3,L13,0)</f>
        <v>0</v>
      </c>
      <c r="N13" s="182">
        <f>IF(A7&gt;1,(O9*O70),(O9*Dimensions!M19))</f>
        <v>0</v>
      </c>
      <c r="O13" s="182">
        <f>IF(A7=3,N13,0)</f>
        <v>0</v>
      </c>
      <c r="P13" s="182"/>
      <c r="Q13" s="1"/>
      <c r="R13" s="1"/>
      <c r="S13" s="1">
        <f>IF(A10&gt;1,(T9*(Dimensions!S19-((Dimensions!S19-Dimensions!S31)*0.5))),(T9*Dimensions!S19))</f>
        <v>0</v>
      </c>
      <c r="T13" s="182">
        <f>IF(A10=3,S13,0)</f>
        <v>0</v>
      </c>
      <c r="U13" s="182">
        <f>IF(A10&gt;1,(V9*V70),(V9*Dimensions!S19))</f>
        <v>0</v>
      </c>
      <c r="V13" s="182">
        <f>IF(A10=3,U13,0)</f>
        <v>0</v>
      </c>
      <c r="W13" s="1"/>
      <c r="X13" s="1"/>
      <c r="Y13" s="1"/>
      <c r="Z13" s="1"/>
    </row>
    <row r="14" spans="1:26" ht="12.75">
      <c r="A14" s="1"/>
      <c r="B14" s="1"/>
      <c r="C14" s="1"/>
      <c r="D14" s="1" t="s">
        <v>346</v>
      </c>
      <c r="E14" s="1">
        <f>IF(A4&gt;1,(F9*F71),(F9*Dimensions!G19))</f>
        <v>0</v>
      </c>
      <c r="F14" s="182">
        <f>IF(A4=4,E14,0)</f>
        <v>0</v>
      </c>
      <c r="G14" s="182">
        <f>IF(A4&gt;1,(H9*H71),(H9*Dimensions!G19))</f>
        <v>0</v>
      </c>
      <c r="H14" s="182">
        <f>IF(A4=4,G14,0)</f>
        <v>0</v>
      </c>
      <c r="I14" s="182"/>
      <c r="J14" s="1"/>
      <c r="K14" s="1"/>
      <c r="L14" s="1">
        <f>IF(A7&gt;1,(M9*M71),(M9*Dimensions!M19))</f>
        <v>0</v>
      </c>
      <c r="M14" s="182">
        <f>IF(A7=4,L14,0)</f>
        <v>0</v>
      </c>
      <c r="N14" s="182">
        <f>IF(A7&gt;1,(O9*O71),(O9*Dimensions!M19))</f>
        <v>0</v>
      </c>
      <c r="O14" s="182">
        <f>IF(A7=4,N14,0)</f>
        <v>0</v>
      </c>
      <c r="P14" s="182"/>
      <c r="Q14" s="1"/>
      <c r="R14" s="1"/>
      <c r="S14" s="1">
        <f>IF(A10&gt;1,(T9*T71),(T9*Dimensions!S19))</f>
        <v>0</v>
      </c>
      <c r="T14" s="182">
        <f>IF(A10=4,S14,0)</f>
        <v>0</v>
      </c>
      <c r="U14" s="182">
        <f>IF(A10&gt;1,(V9*V71),(V9*Dimensions!S19))</f>
        <v>0</v>
      </c>
      <c r="V14" s="182">
        <f>IF(A10=4,U14,0)</f>
        <v>0</v>
      </c>
      <c r="W14" s="1"/>
      <c r="X14" s="1"/>
      <c r="Y14" s="1"/>
      <c r="Z14" s="1"/>
    </row>
    <row r="15" spans="1:26" ht="14.25">
      <c r="A15" s="1"/>
      <c r="B15" s="1"/>
      <c r="C15" s="1"/>
      <c r="D15" s="2" t="s">
        <v>243</v>
      </c>
      <c r="E15" s="1"/>
      <c r="F15" s="183">
        <f>SUM(F11:F14)</f>
        <v>0</v>
      </c>
      <c r="G15" s="182"/>
      <c r="H15" s="183">
        <f>SUM(H11:H14)</f>
        <v>0</v>
      </c>
      <c r="I15" s="214" t="s">
        <v>400</v>
      </c>
      <c r="J15" s="1"/>
      <c r="K15" s="1"/>
      <c r="L15" s="1"/>
      <c r="M15" s="183">
        <f>SUM(M11:M14)</f>
        <v>0</v>
      </c>
      <c r="N15" s="182"/>
      <c r="O15" s="183">
        <f>SUM(O11:O14)</f>
        <v>0</v>
      </c>
      <c r="P15" s="214" t="s">
        <v>400</v>
      </c>
      <c r="Q15" s="1"/>
      <c r="R15" s="1"/>
      <c r="S15" s="1"/>
      <c r="T15" s="183">
        <f>SUM(T11:T14)</f>
        <v>0</v>
      </c>
      <c r="U15" s="182"/>
      <c r="V15" s="183">
        <f>SUM(V11:V14)</f>
        <v>0</v>
      </c>
      <c r="W15" s="214" t="s">
        <v>400</v>
      </c>
      <c r="X15" s="1"/>
      <c r="Y15" s="1"/>
      <c r="Z15" s="1"/>
    </row>
    <row r="16" spans="1:26" ht="12.75">
      <c r="A16" s="1"/>
      <c r="B16" s="1"/>
      <c r="C16" s="1"/>
      <c r="D16" s="2"/>
      <c r="E16" s="1"/>
      <c r="F16" s="183"/>
      <c r="G16" s="182"/>
      <c r="H16" s="183"/>
      <c r="I16" s="183"/>
      <c r="J16" s="1"/>
      <c r="K16" s="1"/>
      <c r="L16" s="1"/>
      <c r="M16" s="183"/>
      <c r="N16" s="182"/>
      <c r="O16" s="183"/>
      <c r="P16" s="183"/>
      <c r="Q16" s="1"/>
      <c r="R16" s="1"/>
      <c r="S16" s="1"/>
      <c r="T16" s="183"/>
      <c r="U16" s="182"/>
      <c r="V16" s="183"/>
      <c r="W16" s="1"/>
      <c r="X16" s="1"/>
      <c r="Y16" s="1"/>
      <c r="Z16" s="1"/>
    </row>
    <row r="17" spans="1:26" ht="12.75">
      <c r="A17" s="1"/>
      <c r="B17" s="1"/>
      <c r="C17" s="118"/>
      <c r="D17" s="118"/>
      <c r="E17" s="118"/>
      <c r="F17" s="199" t="s">
        <v>395</v>
      </c>
      <c r="G17" s="186" t="s">
        <v>396</v>
      </c>
      <c r="H17" s="185" t="s">
        <v>395</v>
      </c>
      <c r="I17" s="187" t="s">
        <v>396</v>
      </c>
      <c r="J17" s="1"/>
      <c r="K17" s="1"/>
      <c r="L17" s="118"/>
      <c r="M17" s="199" t="s">
        <v>395</v>
      </c>
      <c r="N17" s="186" t="s">
        <v>396</v>
      </c>
      <c r="O17" s="185" t="s">
        <v>395</v>
      </c>
      <c r="P17" s="187" t="s">
        <v>396</v>
      </c>
      <c r="Q17" s="1"/>
      <c r="R17" s="1"/>
      <c r="S17" s="1"/>
      <c r="T17" s="199" t="s">
        <v>395</v>
      </c>
      <c r="U17" s="186" t="s">
        <v>396</v>
      </c>
      <c r="V17" s="185" t="s">
        <v>395</v>
      </c>
      <c r="W17" s="187" t="s">
        <v>396</v>
      </c>
      <c r="X17" s="1"/>
      <c r="Y17" s="1"/>
      <c r="Z17" s="1"/>
    </row>
    <row r="18" spans="1:26" ht="12.75">
      <c r="A18" s="1"/>
      <c r="B18" s="1"/>
      <c r="C18" s="204" t="s">
        <v>375</v>
      </c>
      <c r="D18" s="118" t="s">
        <v>350</v>
      </c>
      <c r="E18" s="118" t="s">
        <v>401</v>
      </c>
      <c r="F18" s="200">
        <f>Dimensions!G17</f>
        <v>0</v>
      </c>
      <c r="G18" s="188">
        <f>IF(A$3=1,F18*F$72,0)</f>
        <v>0</v>
      </c>
      <c r="H18" s="188">
        <f>B26</f>
        <v>-0.35</v>
      </c>
      <c r="I18" s="189">
        <f>IF(A$3=1,H18*H$72,0)</f>
        <v>0</v>
      </c>
      <c r="J18" s="1"/>
      <c r="K18" s="1"/>
      <c r="L18" s="118"/>
      <c r="M18" s="200">
        <f>Dimensions!M17</f>
        <v>0</v>
      </c>
      <c r="N18" s="188">
        <f>IF(A$6=1,M18*M$72,0)</f>
        <v>0</v>
      </c>
      <c r="O18" s="188">
        <f>L26</f>
        <v>-0.35</v>
      </c>
      <c r="P18" s="189">
        <f>IF(A$6=1,O18*O$72,0)</f>
        <v>0</v>
      </c>
      <c r="Q18" s="1"/>
      <c r="R18" s="1"/>
      <c r="S18" s="1"/>
      <c r="T18" s="200">
        <f>Dimensions!S17</f>
        <v>0</v>
      </c>
      <c r="U18" s="188">
        <f>IF(A$9=1,T18*T$72,0)</f>
        <v>0</v>
      </c>
      <c r="V18" s="188">
        <f>S26</f>
        <v>-0.35</v>
      </c>
      <c r="W18" s="189">
        <f>IF(A$9=1,V18*V$72,0)</f>
        <v>0</v>
      </c>
      <c r="X18" s="1"/>
      <c r="Y18" s="1"/>
      <c r="Z18" s="1"/>
    </row>
    <row r="19" spans="1:26" ht="12.75">
      <c r="A19" s="1"/>
      <c r="B19" s="1"/>
      <c r="C19" s="118"/>
      <c r="D19" s="118" t="s">
        <v>351</v>
      </c>
      <c r="E19" s="118"/>
      <c r="F19" s="200">
        <f>Dimensions!G17</f>
        <v>0</v>
      </c>
      <c r="G19" s="188">
        <f>IF(A$3=1,F19*F$72,0)</f>
        <v>0</v>
      </c>
      <c r="H19" s="188">
        <f>B26</f>
        <v>-0.35</v>
      </c>
      <c r="I19" s="189">
        <f>IF(A$3=1,H19*H$72,0)</f>
        <v>0</v>
      </c>
      <c r="J19" s="1"/>
      <c r="K19" s="1"/>
      <c r="L19" s="118"/>
      <c r="M19" s="200">
        <f>Dimensions!M17</f>
        <v>0</v>
      </c>
      <c r="N19" s="188">
        <f>IF(A$6=1,M19*M$72,0)</f>
        <v>0</v>
      </c>
      <c r="O19" s="188">
        <f>L26</f>
        <v>-0.35</v>
      </c>
      <c r="P19" s="189">
        <f>IF(A$6=1,O19*O$72,0)</f>
        <v>0</v>
      </c>
      <c r="Q19" s="1"/>
      <c r="R19" s="1"/>
      <c r="S19" s="1"/>
      <c r="T19" s="200">
        <f>Dimensions!S17</f>
        <v>0</v>
      </c>
      <c r="U19" s="188">
        <f>IF(A$9=1,T19*T$72,0)</f>
        <v>0</v>
      </c>
      <c r="V19" s="188">
        <f>S26</f>
        <v>-0.35</v>
      </c>
      <c r="W19" s="189">
        <f>IF(A$9=1,V19*V$72,0)</f>
        <v>0</v>
      </c>
      <c r="X19" s="1"/>
      <c r="Y19" s="1"/>
      <c r="Z19" s="1"/>
    </row>
    <row r="20" spans="1:26" ht="12.75">
      <c r="A20" s="1"/>
      <c r="B20" s="1"/>
      <c r="C20" s="118"/>
      <c r="D20" s="118" t="s">
        <v>352</v>
      </c>
      <c r="E20" s="118"/>
      <c r="F20" s="200">
        <f>Dimensions!G15</f>
        <v>0</v>
      </c>
      <c r="G20" s="188">
        <f>IF(A$3=1,F20*F$72,0)</f>
        <v>0</v>
      </c>
      <c r="H20" s="188">
        <f>B24</f>
        <v>-0.35</v>
      </c>
      <c r="I20" s="189">
        <f>IF(A$3=1,H20*H$72,0)</f>
        <v>0</v>
      </c>
      <c r="J20" s="1"/>
      <c r="K20" s="1"/>
      <c r="L20" s="118"/>
      <c r="M20" s="200">
        <f>Dimensions!M15</f>
        <v>0</v>
      </c>
      <c r="N20" s="188">
        <f>IF(A$6=1,M20*M$72,0)</f>
        <v>0</v>
      </c>
      <c r="O20" s="188">
        <f>L24</f>
        <v>-0.35</v>
      </c>
      <c r="P20" s="189">
        <f>IF(A$6=1,O20*O$72,0)</f>
        <v>0</v>
      </c>
      <c r="Q20" s="1"/>
      <c r="R20" s="1"/>
      <c r="S20" s="1"/>
      <c r="T20" s="200">
        <f>Dimensions!S15</f>
        <v>0</v>
      </c>
      <c r="U20" s="188">
        <f>IF(A$9=1,T20*T$72,0)</f>
        <v>0</v>
      </c>
      <c r="V20" s="188">
        <f>S24</f>
        <v>-0.35</v>
      </c>
      <c r="W20" s="189">
        <f>IF(A$9=1,V20*V$72,0)</f>
        <v>0</v>
      </c>
      <c r="X20" s="1"/>
      <c r="Y20" s="1"/>
      <c r="Z20" s="1"/>
    </row>
    <row r="21" spans="1:26" ht="12.75">
      <c r="A21" s="1"/>
      <c r="B21" s="1"/>
      <c r="C21" s="118"/>
      <c r="D21" s="118" t="s">
        <v>353</v>
      </c>
      <c r="E21" s="118"/>
      <c r="F21" s="200">
        <f>Dimensions!G15</f>
        <v>0</v>
      </c>
      <c r="G21" s="188">
        <f>IF(A$3=1,F21*F$72,0)</f>
        <v>0</v>
      </c>
      <c r="H21" s="188">
        <f>B24</f>
        <v>-0.35</v>
      </c>
      <c r="I21" s="189">
        <f>IF(A$3=1,H21*H$72,0)</f>
        <v>0</v>
      </c>
      <c r="J21" s="1"/>
      <c r="K21" s="1"/>
      <c r="L21" s="118"/>
      <c r="M21" s="200">
        <f>Dimensions!M15</f>
        <v>0</v>
      </c>
      <c r="N21" s="188">
        <f>IF(A$6=1,M21*M$72,0)</f>
        <v>0</v>
      </c>
      <c r="O21" s="188">
        <f>L24</f>
        <v>-0.35</v>
      </c>
      <c r="P21" s="189">
        <f>IF(A$6=1,O21*O$72,0)</f>
        <v>0</v>
      </c>
      <c r="Q21" s="1"/>
      <c r="R21" s="1"/>
      <c r="S21" s="1"/>
      <c r="T21" s="200">
        <f>Dimensions!S15</f>
        <v>0</v>
      </c>
      <c r="U21" s="188">
        <f>IF(A$9=1,T21*T$72,0)</f>
        <v>0</v>
      </c>
      <c r="V21" s="188">
        <f>S24</f>
        <v>-0.35</v>
      </c>
      <c r="W21" s="189">
        <f>IF(A$9=1,V21*V$72,0)</f>
        <v>0</v>
      </c>
      <c r="X21" s="1"/>
      <c r="Y21" s="1"/>
      <c r="Z21" s="1"/>
    </row>
    <row r="22" spans="1:26" ht="12.75">
      <c r="A22" s="1"/>
      <c r="B22" s="1"/>
      <c r="C22" s="118"/>
      <c r="D22" s="118" t="s">
        <v>169</v>
      </c>
      <c r="E22" s="118"/>
      <c r="F22" s="201">
        <f>SUM(F18:F21)</f>
        <v>0</v>
      </c>
      <c r="G22" s="192"/>
      <c r="H22" s="191">
        <f>SUM(H18:H21)</f>
        <v>-1.4</v>
      </c>
      <c r="I22" s="193"/>
      <c r="J22" s="1"/>
      <c r="K22" s="1"/>
      <c r="L22" s="118"/>
      <c r="M22" s="201">
        <f>SUM(M18:M21)</f>
        <v>0</v>
      </c>
      <c r="N22" s="118"/>
      <c r="O22" s="191">
        <f>SUM(O18:O21)</f>
        <v>-1.4</v>
      </c>
      <c r="P22" s="193"/>
      <c r="Q22" s="1"/>
      <c r="R22" s="1"/>
      <c r="S22" s="1"/>
      <c r="T22" s="201">
        <f>SUM(T18:T21)</f>
        <v>0</v>
      </c>
      <c r="U22" s="118"/>
      <c r="V22" s="191">
        <f>SUM(V18:V21)</f>
        <v>-1.4</v>
      </c>
      <c r="W22" s="202"/>
      <c r="X22" s="1"/>
      <c r="Y22" s="1"/>
      <c r="Z22" s="1"/>
    </row>
    <row r="23" spans="1:26" ht="12.75">
      <c r="A23" s="1"/>
      <c r="B23" s="1" t="s">
        <v>390</v>
      </c>
      <c r="C23" s="118"/>
      <c r="D23" s="118"/>
      <c r="E23" s="118"/>
      <c r="F23" s="200"/>
      <c r="G23" s="192"/>
      <c r="H23" s="188"/>
      <c r="I23" s="189"/>
      <c r="J23" s="1"/>
      <c r="K23" s="1"/>
      <c r="L23" s="1" t="s">
        <v>390</v>
      </c>
      <c r="M23" s="200"/>
      <c r="N23" s="118"/>
      <c r="O23" s="188"/>
      <c r="P23" s="189"/>
      <c r="Q23" s="1"/>
      <c r="R23" s="1"/>
      <c r="S23" s="1" t="s">
        <v>390</v>
      </c>
      <c r="T23" s="200"/>
      <c r="U23" s="118"/>
      <c r="V23" s="188"/>
      <c r="W23" s="202"/>
      <c r="X23" s="1"/>
      <c r="Y23" s="1"/>
      <c r="Z23" s="1"/>
    </row>
    <row r="24" spans="1:26" ht="12.75">
      <c r="A24" s="179" t="s">
        <v>325</v>
      </c>
      <c r="B24" s="180">
        <f>Dimensions!G15-0.35</f>
        <v>-0.35</v>
      </c>
      <c r="C24" s="118"/>
      <c r="D24" s="118" t="s">
        <v>354</v>
      </c>
      <c r="E24" s="118" t="s">
        <v>402</v>
      </c>
      <c r="F24" s="200">
        <f>Dimensions!G17</f>
        <v>0</v>
      </c>
      <c r="G24" s="188">
        <f aca="true" t="shared" si="0" ref="G24:G29">IF(A$3=2,F24*F$72,0)</f>
        <v>0</v>
      </c>
      <c r="H24" s="188">
        <f>B26</f>
        <v>-0.35</v>
      </c>
      <c r="I24" s="189">
        <f aca="true" t="shared" si="1" ref="I24:I29">IF(A$3=2,H24*H$72,0)</f>
        <v>0</v>
      </c>
      <c r="J24" s="1"/>
      <c r="K24" s="179" t="s">
        <v>325</v>
      </c>
      <c r="L24" s="180">
        <f>Dimensions!M15-0.35</f>
        <v>-0.35</v>
      </c>
      <c r="M24" s="200">
        <f>Dimensions!M17</f>
        <v>0</v>
      </c>
      <c r="N24" s="188">
        <f aca="true" t="shared" si="2" ref="N24:N29">IF(A$6=2,M24*M$72,0)</f>
        <v>0</v>
      </c>
      <c r="O24" s="188">
        <f>L26</f>
        <v>-0.35</v>
      </c>
      <c r="P24" s="189">
        <f aca="true" t="shared" si="3" ref="P24:P29">IF(A$6=2,O24*O$72,0)</f>
        <v>0</v>
      </c>
      <c r="Q24" s="1"/>
      <c r="R24" s="179" t="s">
        <v>325</v>
      </c>
      <c r="S24" s="180">
        <f>Dimensions!S15-0.35</f>
        <v>-0.35</v>
      </c>
      <c r="T24" s="200">
        <f>Dimensions!S17</f>
        <v>0</v>
      </c>
      <c r="U24" s="188">
        <f aca="true" t="shared" si="4" ref="U24:U29">IF(A$9=2,T24*T$72,0)</f>
        <v>0</v>
      </c>
      <c r="V24" s="188">
        <f>S26</f>
        <v>-0.35</v>
      </c>
      <c r="W24" s="189">
        <f aca="true" t="shared" si="5" ref="W24:W29">IF(A$9=2,V24*V$72,0)</f>
        <v>0</v>
      </c>
      <c r="X24" s="1"/>
      <c r="Y24" s="1"/>
      <c r="Z24" s="1"/>
    </row>
    <row r="25" spans="1:26" ht="12.75">
      <c r="A25" s="179"/>
      <c r="B25" s="1"/>
      <c r="C25" s="118"/>
      <c r="D25" s="118" t="s">
        <v>355</v>
      </c>
      <c r="E25" s="118"/>
      <c r="F25" s="200">
        <f>Dimensions!G17-Dimensions!G23</f>
        <v>0</v>
      </c>
      <c r="G25" s="188">
        <f t="shared" si="0"/>
        <v>0</v>
      </c>
      <c r="H25" s="188">
        <f>B26-B32</f>
        <v>-0.35</v>
      </c>
      <c r="I25" s="189">
        <f t="shared" si="1"/>
        <v>0</v>
      </c>
      <c r="J25" s="1"/>
      <c r="K25" s="179"/>
      <c r="L25" s="1"/>
      <c r="M25" s="200">
        <f>Dimensions!M17-Dimensions!M23</f>
        <v>0</v>
      </c>
      <c r="N25" s="188">
        <f t="shared" si="2"/>
        <v>0</v>
      </c>
      <c r="O25" s="188">
        <f>L26-L32</f>
        <v>-0.35</v>
      </c>
      <c r="P25" s="189">
        <f t="shared" si="3"/>
        <v>0</v>
      </c>
      <c r="Q25" s="1"/>
      <c r="R25" s="179"/>
      <c r="S25" s="1"/>
      <c r="T25" s="200">
        <f>Dimensions!S17-Dimensions!S23</f>
        <v>0</v>
      </c>
      <c r="U25" s="188">
        <f t="shared" si="4"/>
        <v>0</v>
      </c>
      <c r="V25" s="188">
        <f>S26-S32</f>
        <v>-0.35</v>
      </c>
      <c r="W25" s="189">
        <f t="shared" si="5"/>
        <v>0</v>
      </c>
      <c r="X25" s="1"/>
      <c r="Y25" s="1"/>
      <c r="Z25" s="1"/>
    </row>
    <row r="26" spans="1:26" ht="12.75">
      <c r="A26" s="179" t="s">
        <v>326</v>
      </c>
      <c r="B26" s="180">
        <f>Dimensions!G17-0.35</f>
        <v>-0.35</v>
      </c>
      <c r="C26" s="118"/>
      <c r="D26" s="118" t="s">
        <v>356</v>
      </c>
      <c r="E26" s="118"/>
      <c r="F26" s="200">
        <f>Dimensions!G15</f>
        <v>0</v>
      </c>
      <c r="G26" s="188">
        <f t="shared" si="0"/>
        <v>0</v>
      </c>
      <c r="H26" s="188">
        <f>B24</f>
        <v>-0.35</v>
      </c>
      <c r="I26" s="189">
        <f t="shared" si="1"/>
        <v>0</v>
      </c>
      <c r="J26" s="1"/>
      <c r="K26" s="179" t="s">
        <v>326</v>
      </c>
      <c r="L26" s="180">
        <f>Dimensions!M17-0.35</f>
        <v>-0.35</v>
      </c>
      <c r="M26" s="200">
        <f>Dimensions!M15</f>
        <v>0</v>
      </c>
      <c r="N26" s="188">
        <f t="shared" si="2"/>
        <v>0</v>
      </c>
      <c r="O26" s="188">
        <f>L24</f>
        <v>-0.35</v>
      </c>
      <c r="P26" s="189">
        <f t="shared" si="3"/>
        <v>0</v>
      </c>
      <c r="Q26" s="1"/>
      <c r="R26" s="179" t="s">
        <v>326</v>
      </c>
      <c r="S26" s="180">
        <f>Dimensions!S17-0.35</f>
        <v>-0.35</v>
      </c>
      <c r="T26" s="200">
        <f>Dimensions!S15</f>
        <v>0</v>
      </c>
      <c r="U26" s="188">
        <f t="shared" si="4"/>
        <v>0</v>
      </c>
      <c r="V26" s="188">
        <f>S24</f>
        <v>-0.35</v>
      </c>
      <c r="W26" s="189">
        <f t="shared" si="5"/>
        <v>0</v>
      </c>
      <c r="X26" s="1"/>
      <c r="Y26" s="1"/>
      <c r="Z26" s="1"/>
    </row>
    <row r="27" spans="1:26" ht="12.75">
      <c r="A27" s="179"/>
      <c r="B27" s="1"/>
      <c r="C27" s="118"/>
      <c r="D27" s="118" t="s">
        <v>357</v>
      </c>
      <c r="E27" s="118"/>
      <c r="F27" s="200">
        <f>Dimensions!G15-Dimensions!G21</f>
        <v>0</v>
      </c>
      <c r="G27" s="188">
        <f t="shared" si="0"/>
        <v>0</v>
      </c>
      <c r="H27" s="188">
        <f>B24-B30</f>
        <v>-0.35</v>
      </c>
      <c r="I27" s="189">
        <f t="shared" si="1"/>
        <v>0</v>
      </c>
      <c r="J27" s="1"/>
      <c r="K27" s="179"/>
      <c r="L27" s="1"/>
      <c r="M27" s="200">
        <f>Dimensions!M15-Dimensions!M21</f>
        <v>0</v>
      </c>
      <c r="N27" s="188">
        <f t="shared" si="2"/>
        <v>0</v>
      </c>
      <c r="O27" s="188">
        <f>L24-L30</f>
        <v>-0.35</v>
      </c>
      <c r="P27" s="189">
        <f t="shared" si="3"/>
        <v>0</v>
      </c>
      <c r="Q27" s="1"/>
      <c r="R27" s="179"/>
      <c r="S27" s="1"/>
      <c r="T27" s="200">
        <f>Dimensions!S15-Dimensions!S21</f>
        <v>0</v>
      </c>
      <c r="U27" s="188">
        <f t="shared" si="4"/>
        <v>0</v>
      </c>
      <c r="V27" s="188">
        <f>S24-S30</f>
        <v>-0.35</v>
      </c>
      <c r="W27" s="189">
        <f t="shared" si="5"/>
        <v>0</v>
      </c>
      <c r="X27" s="1"/>
      <c r="Y27" s="1"/>
      <c r="Z27" s="1"/>
    </row>
    <row r="28" spans="1:26" ht="12.75">
      <c r="A28" s="179" t="s">
        <v>327</v>
      </c>
      <c r="B28" s="180">
        <f>Dimensions!G19-0.3</f>
        <v>-0.3</v>
      </c>
      <c r="C28" s="118"/>
      <c r="D28" s="118" t="s">
        <v>358</v>
      </c>
      <c r="E28" s="118"/>
      <c r="F28" s="200">
        <f>Dimensions!G23</f>
        <v>0</v>
      </c>
      <c r="G28" s="188">
        <f t="shared" si="0"/>
        <v>0</v>
      </c>
      <c r="H28" s="188">
        <f>B32</f>
        <v>0</v>
      </c>
      <c r="I28" s="189">
        <f t="shared" si="1"/>
        <v>0</v>
      </c>
      <c r="J28" s="1"/>
      <c r="K28" s="179" t="s">
        <v>327</v>
      </c>
      <c r="L28" s="180">
        <f>Dimensions!M19-0.3</f>
        <v>-0.3</v>
      </c>
      <c r="M28" s="200">
        <f>Dimensions!M23</f>
        <v>0</v>
      </c>
      <c r="N28" s="188">
        <f t="shared" si="2"/>
        <v>0</v>
      </c>
      <c r="O28" s="188">
        <f>L32</f>
        <v>0</v>
      </c>
      <c r="P28" s="189">
        <f t="shared" si="3"/>
        <v>0</v>
      </c>
      <c r="Q28" s="1"/>
      <c r="R28" s="179" t="s">
        <v>327</v>
      </c>
      <c r="S28" s="180">
        <f>Dimensions!S19-0.3</f>
        <v>-0.3</v>
      </c>
      <c r="T28" s="200">
        <f>Dimensions!S23</f>
        <v>0</v>
      </c>
      <c r="U28" s="188">
        <f t="shared" si="4"/>
        <v>0</v>
      </c>
      <c r="V28" s="188">
        <f>S32</f>
        <v>0</v>
      </c>
      <c r="W28" s="189">
        <f t="shared" si="5"/>
        <v>0</v>
      </c>
      <c r="X28" s="1"/>
      <c r="Y28" s="1"/>
      <c r="Z28" s="1"/>
    </row>
    <row r="29" spans="1:26" ht="12.75">
      <c r="A29" s="179"/>
      <c r="B29" s="1"/>
      <c r="C29" s="118"/>
      <c r="D29" s="118" t="s">
        <v>359</v>
      </c>
      <c r="E29" s="118"/>
      <c r="F29" s="200">
        <f>Dimensions!G21</f>
        <v>0</v>
      </c>
      <c r="G29" s="188">
        <f t="shared" si="0"/>
        <v>0</v>
      </c>
      <c r="H29" s="188">
        <f>B30</f>
        <v>0</v>
      </c>
      <c r="I29" s="189">
        <f t="shared" si="1"/>
        <v>0</v>
      </c>
      <c r="J29" s="1"/>
      <c r="K29" s="179"/>
      <c r="L29" s="1"/>
      <c r="M29" s="200">
        <f>Dimensions!M21</f>
        <v>0</v>
      </c>
      <c r="N29" s="188">
        <f t="shared" si="2"/>
        <v>0</v>
      </c>
      <c r="O29" s="188">
        <f>L30</f>
        <v>0</v>
      </c>
      <c r="P29" s="189">
        <f t="shared" si="3"/>
        <v>0</v>
      </c>
      <c r="Q29" s="1"/>
      <c r="R29" s="179"/>
      <c r="S29" s="1"/>
      <c r="T29" s="200">
        <f>Dimensions!S21</f>
        <v>0</v>
      </c>
      <c r="U29" s="188">
        <f t="shared" si="4"/>
        <v>0</v>
      </c>
      <c r="V29" s="188">
        <f>S30</f>
        <v>0</v>
      </c>
      <c r="W29" s="189">
        <f t="shared" si="5"/>
        <v>0</v>
      </c>
      <c r="X29" s="1"/>
      <c r="Y29" s="1"/>
      <c r="Z29" s="1"/>
    </row>
    <row r="30" spans="1:26" ht="12.75">
      <c r="A30" s="179" t="s">
        <v>387</v>
      </c>
      <c r="B30" s="180">
        <f>Dimensions!G21</f>
        <v>0</v>
      </c>
      <c r="C30" s="118"/>
      <c r="D30" s="118" t="s">
        <v>169</v>
      </c>
      <c r="E30" s="118"/>
      <c r="F30" s="201">
        <f>SUM(F24:F29)</f>
        <v>0</v>
      </c>
      <c r="G30" s="192"/>
      <c r="H30" s="191">
        <f>SUM(H24:H29)</f>
        <v>-1.4</v>
      </c>
      <c r="I30" s="193"/>
      <c r="J30" s="1"/>
      <c r="K30" s="179" t="s">
        <v>387</v>
      </c>
      <c r="L30" s="180">
        <f>Dimensions!M21</f>
        <v>0</v>
      </c>
      <c r="M30" s="201">
        <f>SUM(M24:M29)</f>
        <v>0</v>
      </c>
      <c r="N30" s="192"/>
      <c r="O30" s="191">
        <f>SUM(O24:O29)</f>
        <v>-1.4</v>
      </c>
      <c r="P30" s="197"/>
      <c r="Q30" s="1"/>
      <c r="R30" s="179" t="s">
        <v>387</v>
      </c>
      <c r="S30" s="180">
        <f>Dimensions!S21</f>
        <v>0</v>
      </c>
      <c r="T30" s="201">
        <f>SUM(T24:T29)</f>
        <v>0</v>
      </c>
      <c r="U30" s="192"/>
      <c r="V30" s="191">
        <f>SUM(V24:V29)</f>
        <v>-1.4</v>
      </c>
      <c r="W30" s="197"/>
      <c r="X30" s="1"/>
      <c r="Y30" s="1"/>
      <c r="Z30" s="1"/>
    </row>
    <row r="31" spans="1:26" ht="12.75">
      <c r="A31" s="179"/>
      <c r="B31" s="1"/>
      <c r="C31" s="118"/>
      <c r="D31" s="118"/>
      <c r="E31" s="118"/>
      <c r="F31" s="190"/>
      <c r="G31" s="192"/>
      <c r="H31" s="188"/>
      <c r="I31" s="189"/>
      <c r="J31" s="1"/>
      <c r="K31" s="179"/>
      <c r="L31" s="1"/>
      <c r="M31" s="190"/>
      <c r="N31" s="192"/>
      <c r="O31" s="188"/>
      <c r="P31" s="197"/>
      <c r="Q31" s="1"/>
      <c r="R31" s="179"/>
      <c r="S31" s="1"/>
      <c r="T31" s="190"/>
      <c r="U31" s="192"/>
      <c r="V31" s="188"/>
      <c r="W31" s="197"/>
      <c r="X31" s="1"/>
      <c r="Y31" s="1"/>
      <c r="Z31" s="1"/>
    </row>
    <row r="32" spans="1:26" ht="12.75">
      <c r="A32" s="179" t="s">
        <v>388</v>
      </c>
      <c r="B32" s="180">
        <f>Dimensions!G23</f>
        <v>0</v>
      </c>
      <c r="C32" s="118"/>
      <c r="D32" s="118" t="s">
        <v>360</v>
      </c>
      <c r="E32" s="118" t="s">
        <v>336</v>
      </c>
      <c r="F32" s="200">
        <f>Dimensions!G17</f>
        <v>0</v>
      </c>
      <c r="G32" s="188">
        <f>IF(A$3=3,F32*F$72,0)</f>
        <v>0</v>
      </c>
      <c r="H32" s="188">
        <f>B26</f>
        <v>-0.35</v>
      </c>
      <c r="I32" s="189">
        <f>IF(A$3=3,H32*H$72,0)</f>
        <v>0</v>
      </c>
      <c r="J32" s="1"/>
      <c r="K32" s="179" t="s">
        <v>388</v>
      </c>
      <c r="L32" s="180">
        <f>Dimensions!M23</f>
        <v>0</v>
      </c>
      <c r="M32" s="200">
        <f>Dimensions!M17</f>
        <v>0</v>
      </c>
      <c r="N32" s="188">
        <f>IF(A$6=3,M32*M$72,0)</f>
        <v>0</v>
      </c>
      <c r="O32" s="188">
        <f>L26</f>
        <v>-0.35</v>
      </c>
      <c r="P32" s="189">
        <f>IF(A$6=3,O32*O$72,0)</f>
        <v>0</v>
      </c>
      <c r="Q32" s="1"/>
      <c r="R32" s="179" t="s">
        <v>388</v>
      </c>
      <c r="S32" s="180">
        <f>Dimensions!S23</f>
        <v>0</v>
      </c>
      <c r="T32" s="200">
        <f>Dimensions!S17</f>
        <v>0</v>
      </c>
      <c r="U32" s="188">
        <f>IF(A$9=3,T32*T$72,0)</f>
        <v>0</v>
      </c>
      <c r="V32" s="188">
        <f>S26</f>
        <v>-0.35</v>
      </c>
      <c r="W32" s="189">
        <f>IF(A$9=3,V32*V$72,0)</f>
        <v>0</v>
      </c>
      <c r="X32" s="1"/>
      <c r="Y32" s="1"/>
      <c r="Z32" s="1"/>
    </row>
    <row r="33" spans="1:26" ht="12.75">
      <c r="A33" s="179"/>
      <c r="B33" s="1"/>
      <c r="C33" s="118"/>
      <c r="D33" s="118" t="s">
        <v>361</v>
      </c>
      <c r="E33" s="118"/>
      <c r="F33" s="200">
        <f>Dimensions!G17-Dimensions!G23</f>
        <v>0</v>
      </c>
      <c r="G33" s="188">
        <f>IF(A$3=3,F33*F$72,0)</f>
        <v>0</v>
      </c>
      <c r="H33" s="188">
        <f>B26-B32</f>
        <v>-0.35</v>
      </c>
      <c r="I33" s="189">
        <f>IF(A$3=3,H33*H$72,0)</f>
        <v>0</v>
      </c>
      <c r="J33" s="1"/>
      <c r="K33" s="179"/>
      <c r="L33" s="1"/>
      <c r="M33" s="200">
        <f>Dimensions!M17-Dimensions!M23</f>
        <v>0</v>
      </c>
      <c r="N33" s="188">
        <f>IF(A$6=3,M33*M$72,0)</f>
        <v>0</v>
      </c>
      <c r="O33" s="188">
        <f>L26-L32</f>
        <v>-0.35</v>
      </c>
      <c r="P33" s="189">
        <f>IF(A$6=3,O33*O$72,0)</f>
        <v>0</v>
      </c>
      <c r="Q33" s="1"/>
      <c r="R33" s="179"/>
      <c r="S33" s="1"/>
      <c r="T33" s="200">
        <f>Dimensions!S17-Dimensions!S23</f>
        <v>0</v>
      </c>
      <c r="U33" s="188">
        <f>IF(A$9=3,T33*T$72,0)</f>
        <v>0</v>
      </c>
      <c r="V33" s="188">
        <f>S26-S32</f>
        <v>-0.35</v>
      </c>
      <c r="W33" s="189">
        <f>IF(A$9=3,V33*V$72,0)</f>
        <v>0</v>
      </c>
      <c r="X33" s="1"/>
      <c r="Y33" s="1"/>
      <c r="Z33" s="1"/>
    </row>
    <row r="34" spans="1:26" ht="12.75">
      <c r="A34" s="179" t="s">
        <v>352</v>
      </c>
      <c r="B34" s="180">
        <f>Dimensions!G25</f>
        <v>0</v>
      </c>
      <c r="C34" s="118"/>
      <c r="D34" s="118" t="s">
        <v>362</v>
      </c>
      <c r="E34" s="118"/>
      <c r="F34" s="200">
        <f>Dimensions!G15</f>
        <v>0</v>
      </c>
      <c r="G34" s="188">
        <f>IF(A$3=3,F34*F$72,0)</f>
        <v>0</v>
      </c>
      <c r="H34" s="188">
        <f>B24</f>
        <v>-0.35</v>
      </c>
      <c r="I34" s="189">
        <f>IF(A$3=3,H34*H$72,0)</f>
        <v>0</v>
      </c>
      <c r="J34" s="1"/>
      <c r="K34" s="179" t="s">
        <v>352</v>
      </c>
      <c r="L34" s="180">
        <f>Dimensions!M25</f>
        <v>0</v>
      </c>
      <c r="M34" s="200">
        <f>Dimensions!M15</f>
        <v>0</v>
      </c>
      <c r="N34" s="188">
        <f>IF(A$6=3,M34*M$72,0)</f>
        <v>0</v>
      </c>
      <c r="O34" s="188">
        <f>L24</f>
        <v>-0.35</v>
      </c>
      <c r="P34" s="189">
        <f>IF(A$6=3,O34*O$72,0)</f>
        <v>0</v>
      </c>
      <c r="Q34" s="1"/>
      <c r="R34" s="179" t="s">
        <v>352</v>
      </c>
      <c r="S34" s="180">
        <f>Dimensions!S25</f>
        <v>0</v>
      </c>
      <c r="T34" s="200">
        <f>Dimensions!S15</f>
        <v>0</v>
      </c>
      <c r="U34" s="188">
        <f>IF(A$9=3,T34*T$72,0)</f>
        <v>0</v>
      </c>
      <c r="V34" s="188">
        <f>S24</f>
        <v>-0.35</v>
      </c>
      <c r="W34" s="189">
        <f>IF(A$9=3,V34*V$72,0)</f>
        <v>0</v>
      </c>
      <c r="X34" s="1"/>
      <c r="Y34" s="1"/>
      <c r="Z34" s="1"/>
    </row>
    <row r="35" spans="1:26" ht="12.75">
      <c r="A35" s="179"/>
      <c r="B35" s="1"/>
      <c r="C35" s="118"/>
      <c r="D35" s="118" t="s">
        <v>363</v>
      </c>
      <c r="E35" s="118"/>
      <c r="F35" s="200">
        <f>Dimensions!G15-Dimensions!G21</f>
        <v>0</v>
      </c>
      <c r="G35" s="188">
        <f>IF(A$3=3,F35*F$72,0)</f>
        <v>0</v>
      </c>
      <c r="H35" s="188">
        <f>B24-B30</f>
        <v>-0.35</v>
      </c>
      <c r="I35" s="189">
        <f>IF(A$3=3,H35*H$72,0)</f>
        <v>0</v>
      </c>
      <c r="J35" s="1"/>
      <c r="K35" s="179"/>
      <c r="L35" s="1"/>
      <c r="M35" s="200">
        <f>Dimensions!M15-Dimensions!M21</f>
        <v>0</v>
      </c>
      <c r="N35" s="188">
        <f>IF(A$6=3,M35*M$72,0)</f>
        <v>0</v>
      </c>
      <c r="O35" s="188">
        <f>L24-L30</f>
        <v>-0.35</v>
      </c>
      <c r="P35" s="189">
        <f>IF(A$6=3,O35*O$72,0)</f>
        <v>0</v>
      </c>
      <c r="Q35" s="1"/>
      <c r="R35" s="179"/>
      <c r="S35" s="1"/>
      <c r="T35" s="200">
        <f>Dimensions!S15-Dimensions!S21</f>
        <v>0</v>
      </c>
      <c r="U35" s="188">
        <f>IF(A$9=3,T35*T$72,0)</f>
        <v>0</v>
      </c>
      <c r="V35" s="188">
        <f>S24-S30</f>
        <v>-0.35</v>
      </c>
      <c r="W35" s="189">
        <f>IF(A$9=3,V35*V$72,0)</f>
        <v>0</v>
      </c>
      <c r="X35" s="1"/>
      <c r="Y35" s="1"/>
      <c r="Z35" s="1"/>
    </row>
    <row r="36" spans="1:26" ht="12.75">
      <c r="A36" s="179"/>
      <c r="B36" s="1"/>
      <c r="C36" s="118"/>
      <c r="D36" s="118" t="s">
        <v>364</v>
      </c>
      <c r="E36" s="118"/>
      <c r="F36" s="200">
        <f>SQRT(Dimensions!G21^2+Dimensions!G23^2)</f>
        <v>0</v>
      </c>
      <c r="G36" s="188">
        <f>IF(A$3=3,F36*F$72,0)</f>
        <v>0</v>
      </c>
      <c r="H36" s="188">
        <f>SQRT(B30^2+B32^2)</f>
        <v>0</v>
      </c>
      <c r="I36" s="189">
        <f>IF(A$3=3,H36*H$72,0)</f>
        <v>0</v>
      </c>
      <c r="J36" s="1"/>
      <c r="K36" s="179"/>
      <c r="L36" s="1"/>
      <c r="M36" s="200">
        <f>SQRT(Dimensions!M21^2+Dimensions!M23^2)</f>
        <v>0</v>
      </c>
      <c r="N36" s="188">
        <f>IF(A$6=3,M36*M$72,0)</f>
        <v>0</v>
      </c>
      <c r="O36" s="188">
        <f>SQRT(L30^2+L32^2)</f>
        <v>0</v>
      </c>
      <c r="P36" s="189">
        <f>IF(A$6=3,O36*O$72,0)</f>
        <v>0</v>
      </c>
      <c r="Q36" s="1"/>
      <c r="R36" s="179"/>
      <c r="S36" s="1"/>
      <c r="T36" s="200">
        <f>SQRT(Dimensions!S21^2+Dimensions!S23^2)</f>
        <v>0</v>
      </c>
      <c r="U36" s="188">
        <f>IF(A$9=3,T36*T$72,0)</f>
        <v>0</v>
      </c>
      <c r="V36" s="188">
        <f>SQRT(S30^2+S32^2)</f>
        <v>0</v>
      </c>
      <c r="W36" s="189">
        <f>IF(A$9=3,V36*V$72,0)</f>
        <v>0</v>
      </c>
      <c r="X36" s="1"/>
      <c r="Y36" s="1"/>
      <c r="Z36" s="1"/>
    </row>
    <row r="37" spans="1:26" ht="12.75">
      <c r="A37" s="179"/>
      <c r="B37" s="1"/>
      <c r="C37" s="118"/>
      <c r="D37" s="118" t="s">
        <v>169</v>
      </c>
      <c r="E37" s="118"/>
      <c r="F37" s="201">
        <f>SUM(F32:F36)</f>
        <v>0</v>
      </c>
      <c r="G37" s="192"/>
      <c r="H37" s="191">
        <f>SUM(H32:H36)</f>
        <v>-1.4</v>
      </c>
      <c r="I37" s="193"/>
      <c r="J37" s="1"/>
      <c r="K37" s="179"/>
      <c r="L37" s="1"/>
      <c r="M37" s="201">
        <f>SUM(M32:M36)</f>
        <v>0</v>
      </c>
      <c r="N37" s="192"/>
      <c r="O37" s="191">
        <f>SUM(O32:O36)</f>
        <v>-1.4</v>
      </c>
      <c r="P37" s="197"/>
      <c r="Q37" s="1"/>
      <c r="R37" s="179"/>
      <c r="S37" s="1"/>
      <c r="T37" s="201">
        <f>SUM(T32:T36)</f>
        <v>0</v>
      </c>
      <c r="U37" s="192"/>
      <c r="V37" s="191">
        <f>SUM(V32:V36)</f>
        <v>-1.4</v>
      </c>
      <c r="W37" s="197"/>
      <c r="X37" s="1"/>
      <c r="Y37" s="1"/>
      <c r="Z37" s="1"/>
    </row>
    <row r="38" spans="1:26" ht="12.75">
      <c r="A38" s="179"/>
      <c r="B38" s="1"/>
      <c r="C38" s="118"/>
      <c r="D38" s="118"/>
      <c r="E38" s="118"/>
      <c r="F38" s="200"/>
      <c r="G38" s="192"/>
      <c r="H38" s="188"/>
      <c r="I38" s="189"/>
      <c r="J38" s="1"/>
      <c r="K38" s="179"/>
      <c r="L38" s="1"/>
      <c r="M38" s="200"/>
      <c r="N38" s="192"/>
      <c r="O38" s="188"/>
      <c r="P38" s="197"/>
      <c r="Q38" s="1"/>
      <c r="R38" s="179"/>
      <c r="S38" s="1"/>
      <c r="T38" s="200"/>
      <c r="U38" s="192"/>
      <c r="V38" s="188"/>
      <c r="W38" s="197"/>
      <c r="X38" s="1"/>
      <c r="Y38" s="1"/>
      <c r="Z38" s="1"/>
    </row>
    <row r="39" spans="1:26" ht="12.75">
      <c r="A39" s="179"/>
      <c r="B39" s="1"/>
      <c r="C39" s="118"/>
      <c r="D39" s="118" t="s">
        <v>365</v>
      </c>
      <c r="E39" s="118" t="s">
        <v>337</v>
      </c>
      <c r="F39" s="190">
        <f>Dimensions!G17-(2*Dimensions!G23)</f>
        <v>0</v>
      </c>
      <c r="G39" s="188">
        <f aca="true" t="shared" si="6" ref="G39:G44">IF(A$3=4,F39*F$72,0)</f>
        <v>0</v>
      </c>
      <c r="H39" s="188">
        <f>B26-B32</f>
        <v>-0.35</v>
      </c>
      <c r="I39" s="189">
        <f aca="true" t="shared" si="7" ref="I39:I44">IF(A$3=4,H39*H$72,0)</f>
        <v>0</v>
      </c>
      <c r="J39" s="1"/>
      <c r="K39" s="179"/>
      <c r="L39" s="1"/>
      <c r="M39" s="190">
        <f>Dimensions!M17-(2*Dimensions!M23)</f>
        <v>0</v>
      </c>
      <c r="N39" s="188">
        <f aca="true" t="shared" si="8" ref="N39:N44">IF(A$6=4,M39*M$72,0)</f>
        <v>0</v>
      </c>
      <c r="O39" s="188">
        <f>L26-L32</f>
        <v>-0.35</v>
      </c>
      <c r="P39" s="189">
        <f aca="true" t="shared" si="9" ref="P39:P44">IF(A$6=4,O39*O$72,0)</f>
        <v>0</v>
      </c>
      <c r="Q39" s="1"/>
      <c r="R39" s="179"/>
      <c r="S39" s="1"/>
      <c r="T39" s="190">
        <f>Dimensions!S17-(2*Dimensions!S23)</f>
        <v>0</v>
      </c>
      <c r="U39" s="188">
        <f aca="true" t="shared" si="10" ref="U39:U44">IF(A$9=4,T39*T$72,0)</f>
        <v>0</v>
      </c>
      <c r="V39" s="188">
        <f>S26-S32</f>
        <v>-0.35</v>
      </c>
      <c r="W39" s="189">
        <f aca="true" t="shared" si="11" ref="W39:W44">IF(A$9=4,V39*V$72,0)</f>
        <v>0</v>
      </c>
      <c r="X39" s="1"/>
      <c r="Y39" s="1"/>
      <c r="Z39" s="1"/>
    </row>
    <row r="40" spans="1:26" ht="12.75">
      <c r="A40" s="179" t="s">
        <v>389</v>
      </c>
      <c r="B40" s="180">
        <f>Dimensions!G31</f>
        <v>0</v>
      </c>
      <c r="C40" s="118"/>
      <c r="D40" s="118" t="s">
        <v>366</v>
      </c>
      <c r="E40" s="118"/>
      <c r="F40" s="200">
        <f>Dimensions!G17</f>
        <v>0</v>
      </c>
      <c r="G40" s="188">
        <f t="shared" si="6"/>
        <v>0</v>
      </c>
      <c r="H40" s="188">
        <f>B26</f>
        <v>-0.35</v>
      </c>
      <c r="I40" s="189">
        <f t="shared" si="7"/>
        <v>0</v>
      </c>
      <c r="J40" s="1"/>
      <c r="K40" s="179" t="s">
        <v>389</v>
      </c>
      <c r="L40" s="180">
        <f>Dimensions!M31</f>
        <v>0</v>
      </c>
      <c r="M40" s="200">
        <f>Dimensions!M17</f>
        <v>0</v>
      </c>
      <c r="N40" s="188">
        <f t="shared" si="8"/>
        <v>0</v>
      </c>
      <c r="O40" s="188">
        <f>L26</f>
        <v>-0.35</v>
      </c>
      <c r="P40" s="189">
        <f t="shared" si="9"/>
        <v>0</v>
      </c>
      <c r="Q40" s="1"/>
      <c r="R40" s="179" t="s">
        <v>389</v>
      </c>
      <c r="S40" s="180">
        <f>Dimensions!S31</f>
        <v>0</v>
      </c>
      <c r="T40" s="200">
        <f>Dimensions!S17</f>
        <v>0</v>
      </c>
      <c r="U40" s="188">
        <f t="shared" si="10"/>
        <v>0</v>
      </c>
      <c r="V40" s="188">
        <f>S26</f>
        <v>-0.35</v>
      </c>
      <c r="W40" s="189">
        <f t="shared" si="11"/>
        <v>0</v>
      </c>
      <c r="X40" s="1"/>
      <c r="Y40" s="1"/>
      <c r="Z40" s="1"/>
    </row>
    <row r="41" spans="1:26" ht="12.75">
      <c r="A41" s="1"/>
      <c r="B41" s="1"/>
      <c r="C41" s="118"/>
      <c r="D41" s="118" t="s">
        <v>367</v>
      </c>
      <c r="E41" s="118"/>
      <c r="F41" s="200">
        <f>Dimensions!G15-Dimensions!G21</f>
        <v>0</v>
      </c>
      <c r="G41" s="188">
        <f t="shared" si="6"/>
        <v>0</v>
      </c>
      <c r="H41" s="188">
        <f>B24-B30</f>
        <v>-0.35</v>
      </c>
      <c r="I41" s="189">
        <f t="shared" si="7"/>
        <v>0</v>
      </c>
      <c r="J41" s="1"/>
      <c r="K41" s="1"/>
      <c r="L41" s="118"/>
      <c r="M41" s="200">
        <f>Dimensions!M15-Dimensions!M21</f>
        <v>0</v>
      </c>
      <c r="N41" s="188">
        <f t="shared" si="8"/>
        <v>0</v>
      </c>
      <c r="O41" s="188">
        <f>L24-L30</f>
        <v>-0.35</v>
      </c>
      <c r="P41" s="189">
        <f t="shared" si="9"/>
        <v>0</v>
      </c>
      <c r="Q41" s="1"/>
      <c r="R41" s="1"/>
      <c r="S41" s="1"/>
      <c r="T41" s="200">
        <f>Dimensions!S15-Dimensions!S21</f>
        <v>0</v>
      </c>
      <c r="U41" s="188">
        <f t="shared" si="10"/>
        <v>0</v>
      </c>
      <c r="V41" s="188">
        <f>S24-S30</f>
        <v>-0.35</v>
      </c>
      <c r="W41" s="189">
        <f t="shared" si="11"/>
        <v>0</v>
      </c>
      <c r="X41" s="1"/>
      <c r="Y41" s="1"/>
      <c r="Z41" s="1"/>
    </row>
    <row r="42" spans="1:26" ht="12.75">
      <c r="A42" s="1"/>
      <c r="B42" s="1"/>
      <c r="C42" s="118"/>
      <c r="D42" s="118" t="s">
        <v>368</v>
      </c>
      <c r="E42" s="118"/>
      <c r="F42" s="200">
        <f>Dimensions!G15-Dimensions!G21</f>
        <v>0</v>
      </c>
      <c r="G42" s="188">
        <f t="shared" si="6"/>
        <v>0</v>
      </c>
      <c r="H42" s="188">
        <f>B24-B30</f>
        <v>-0.35</v>
      </c>
      <c r="I42" s="189">
        <f t="shared" si="7"/>
        <v>0</v>
      </c>
      <c r="J42" s="1"/>
      <c r="K42" s="1"/>
      <c r="L42" s="118"/>
      <c r="M42" s="200">
        <f>Dimensions!M15-Dimensions!M21</f>
        <v>0</v>
      </c>
      <c r="N42" s="188">
        <f t="shared" si="8"/>
        <v>0</v>
      </c>
      <c r="O42" s="188">
        <f>L24-L30</f>
        <v>-0.35</v>
      </c>
      <c r="P42" s="189">
        <f t="shared" si="9"/>
        <v>0</v>
      </c>
      <c r="Q42" s="1"/>
      <c r="R42" s="1"/>
      <c r="S42" s="1"/>
      <c r="T42" s="200">
        <f>Dimensions!S15-Dimensions!S21</f>
        <v>0</v>
      </c>
      <c r="U42" s="188">
        <f t="shared" si="10"/>
        <v>0</v>
      </c>
      <c r="V42" s="188">
        <f>S24-S30</f>
        <v>-0.35</v>
      </c>
      <c r="W42" s="189">
        <f t="shared" si="11"/>
        <v>0</v>
      </c>
      <c r="X42" s="1"/>
      <c r="Y42" s="1"/>
      <c r="Z42" s="1"/>
    </row>
    <row r="43" spans="1:26" ht="12.75">
      <c r="A43" s="1"/>
      <c r="B43" s="1"/>
      <c r="C43" s="118"/>
      <c r="D43" s="118" t="s">
        <v>369</v>
      </c>
      <c r="E43" s="118"/>
      <c r="F43" s="200">
        <f>SQRT(Dimensions!G21^2+Dimensions!G23^2)</f>
        <v>0</v>
      </c>
      <c r="G43" s="188">
        <f t="shared" si="6"/>
        <v>0</v>
      </c>
      <c r="H43" s="188">
        <f>SQRT((B30-0.2)^2+(B32-0.2)^2)</f>
        <v>0.28284271247461906</v>
      </c>
      <c r="I43" s="189">
        <f t="shared" si="7"/>
        <v>0</v>
      </c>
      <c r="J43" s="1"/>
      <c r="K43" s="1"/>
      <c r="L43" s="118"/>
      <c r="M43" s="200">
        <f>SQRT(Dimensions!M21^2+Dimensions!M23^2)</f>
        <v>0</v>
      </c>
      <c r="N43" s="188">
        <f t="shared" si="8"/>
        <v>0</v>
      </c>
      <c r="O43" s="188">
        <f>SQRT((L30-0.2)^2+(L32-0.2)^2)</f>
        <v>0.28284271247461906</v>
      </c>
      <c r="P43" s="189">
        <f t="shared" si="9"/>
        <v>0</v>
      </c>
      <c r="Q43" s="1"/>
      <c r="R43" s="1"/>
      <c r="S43" s="1"/>
      <c r="T43" s="200">
        <f>SQRT(Dimensions!S21^2+Dimensions!S23^2)</f>
        <v>0</v>
      </c>
      <c r="U43" s="188">
        <f t="shared" si="10"/>
        <v>0</v>
      </c>
      <c r="V43" s="188">
        <f>SQRT((S30-0.2)^2+(S32-0.2)^2)</f>
        <v>0.28284271247461906</v>
      </c>
      <c r="W43" s="189">
        <f t="shared" si="11"/>
        <v>0</v>
      </c>
      <c r="X43" s="1"/>
      <c r="Y43" s="1"/>
      <c r="Z43" s="1"/>
    </row>
    <row r="44" spans="1:26" ht="12.75">
      <c r="A44" s="1"/>
      <c r="B44" s="1"/>
      <c r="C44" s="118"/>
      <c r="D44" s="118" t="s">
        <v>370</v>
      </c>
      <c r="E44" s="118"/>
      <c r="F44" s="200">
        <f>SQRT(Dimensions!G21^2+Dimensions!G23^2)</f>
        <v>0</v>
      </c>
      <c r="G44" s="188">
        <f t="shared" si="6"/>
        <v>0</v>
      </c>
      <c r="H44" s="188">
        <f>SQRT((B30-0.2)^2+(B32-0.2)^2)</f>
        <v>0.28284271247461906</v>
      </c>
      <c r="I44" s="189">
        <f t="shared" si="7"/>
        <v>0</v>
      </c>
      <c r="J44" s="1"/>
      <c r="K44" s="1"/>
      <c r="L44" s="118"/>
      <c r="M44" s="200">
        <f>SQRT(Dimensions!M21^2+Dimensions!M23^2)</f>
        <v>0</v>
      </c>
      <c r="N44" s="188">
        <f t="shared" si="8"/>
        <v>0</v>
      </c>
      <c r="O44" s="188">
        <f>SQRT((L30-0.2)^2+(L32-0.2)^2)</f>
        <v>0.28284271247461906</v>
      </c>
      <c r="P44" s="189">
        <f t="shared" si="9"/>
        <v>0</v>
      </c>
      <c r="Q44" s="1"/>
      <c r="R44" s="1"/>
      <c r="S44" s="1"/>
      <c r="T44" s="200">
        <f>SQRT(Dimensions!S21^2+Dimensions!S23^2)</f>
        <v>0</v>
      </c>
      <c r="U44" s="188">
        <f t="shared" si="10"/>
        <v>0</v>
      </c>
      <c r="V44" s="188">
        <f>SQRT((S30-0.2)^2+(S32-0.2)^2)</f>
        <v>0.28284271247461906</v>
      </c>
      <c r="W44" s="189">
        <f t="shared" si="11"/>
        <v>0</v>
      </c>
      <c r="X44" s="1"/>
      <c r="Y44" s="1"/>
      <c r="Z44" s="1"/>
    </row>
    <row r="45" spans="1:26" ht="12.75">
      <c r="A45" s="1"/>
      <c r="B45" s="1"/>
      <c r="C45" s="118"/>
      <c r="D45" s="118" t="s">
        <v>169</v>
      </c>
      <c r="E45" s="118"/>
      <c r="F45" s="201">
        <f>SUM(F39:F44)</f>
        <v>0</v>
      </c>
      <c r="G45" s="192"/>
      <c r="H45" s="191">
        <f>SUM(H39:H44)</f>
        <v>-0.8343145750507617</v>
      </c>
      <c r="I45" s="193"/>
      <c r="J45" s="1"/>
      <c r="K45" s="1"/>
      <c r="L45" s="118"/>
      <c r="M45" s="201">
        <f>SUM(M39:M44)</f>
        <v>0</v>
      </c>
      <c r="N45" s="192"/>
      <c r="O45" s="191">
        <f>SUM(O39:O44)</f>
        <v>-0.8343145750507617</v>
      </c>
      <c r="P45" s="197"/>
      <c r="Q45" s="1"/>
      <c r="R45" s="1"/>
      <c r="S45" s="1"/>
      <c r="T45" s="201">
        <f>SUM(T39:T44)</f>
        <v>0</v>
      </c>
      <c r="U45" s="192"/>
      <c r="V45" s="191">
        <f>SUM(V39:V44)</f>
        <v>-0.8343145750507617</v>
      </c>
      <c r="W45" s="197"/>
      <c r="X45" s="1"/>
      <c r="Y45" s="1"/>
      <c r="Z45" s="1"/>
    </row>
    <row r="46" spans="1:26" ht="12.75">
      <c r="A46" s="1"/>
      <c r="B46" s="1"/>
      <c r="C46" s="118"/>
      <c r="D46" s="118"/>
      <c r="E46" s="118"/>
      <c r="F46" s="190"/>
      <c r="G46" s="192"/>
      <c r="H46" s="188"/>
      <c r="I46" s="189"/>
      <c r="J46" s="1"/>
      <c r="K46" s="1"/>
      <c r="L46" s="118"/>
      <c r="M46" s="190"/>
      <c r="N46" s="192"/>
      <c r="O46" s="188"/>
      <c r="P46" s="197"/>
      <c r="Q46" s="1"/>
      <c r="R46" s="1"/>
      <c r="S46" s="1"/>
      <c r="T46" s="190"/>
      <c r="U46" s="192"/>
      <c r="V46" s="188"/>
      <c r="W46" s="197"/>
      <c r="X46" s="1"/>
      <c r="Y46" s="1"/>
      <c r="Z46" s="1"/>
    </row>
    <row r="47" spans="1:26" ht="12.75">
      <c r="A47" s="1"/>
      <c r="B47" s="1"/>
      <c r="C47" s="118"/>
      <c r="D47" s="118" t="s">
        <v>371</v>
      </c>
      <c r="E47" s="215" t="s">
        <v>335</v>
      </c>
      <c r="F47" s="200">
        <f>Dimensions!G17</f>
        <v>0</v>
      </c>
      <c r="G47" s="188">
        <f>IF(A$3=5,F47*F$72,0)</f>
        <v>0</v>
      </c>
      <c r="H47" s="188">
        <f>B26</f>
        <v>-0.35</v>
      </c>
      <c r="I47" s="189">
        <f>IF(A$3=5,H47*H$72,0)</f>
        <v>0</v>
      </c>
      <c r="J47" s="1"/>
      <c r="K47" s="1"/>
      <c r="L47" s="118"/>
      <c r="M47" s="200">
        <f>Dimensions!M17</f>
        <v>0</v>
      </c>
      <c r="N47" s="188">
        <f>IF(A$6=5,M47*M$72,0)</f>
        <v>0</v>
      </c>
      <c r="O47" s="188">
        <f>L26</f>
        <v>-0.35</v>
      </c>
      <c r="P47" s="189">
        <f>IF(A$6=5,O47*O$72,0)</f>
        <v>0</v>
      </c>
      <c r="Q47" s="1"/>
      <c r="R47" s="1"/>
      <c r="S47" s="1"/>
      <c r="T47" s="200">
        <f>Dimensions!S17</f>
        <v>0</v>
      </c>
      <c r="U47" s="188">
        <f>IF(A$9=5,T47*T$72,0)</f>
        <v>0</v>
      </c>
      <c r="V47" s="188">
        <f>S26</f>
        <v>-0.35</v>
      </c>
      <c r="W47" s="189">
        <f>IF(A$9=5,V47*V$72,0)</f>
        <v>0</v>
      </c>
      <c r="X47" s="1"/>
      <c r="Y47" s="1"/>
      <c r="Z47" s="1"/>
    </row>
    <row r="48" spans="1:26" ht="12.75">
      <c r="A48" s="1"/>
      <c r="B48" s="1"/>
      <c r="C48" s="118"/>
      <c r="D48" s="118" t="s">
        <v>372</v>
      </c>
      <c r="E48" s="118"/>
      <c r="F48" s="200">
        <f>Dimensions!G23</f>
        <v>0</v>
      </c>
      <c r="G48" s="188">
        <f>IF(A$3=5,F48*F$72,0)</f>
        <v>0</v>
      </c>
      <c r="H48" s="188">
        <f>B32-0.3</f>
        <v>-0.3</v>
      </c>
      <c r="I48" s="189">
        <f>IF(A$3=5,H48*H$72,0)</f>
        <v>0</v>
      </c>
      <c r="J48" s="1"/>
      <c r="K48" s="1"/>
      <c r="L48" s="118"/>
      <c r="M48" s="200">
        <f>Dimensions!M23</f>
        <v>0</v>
      </c>
      <c r="N48" s="188">
        <f>IF(A$6=5,M48*M$72,0)</f>
        <v>0</v>
      </c>
      <c r="O48" s="188">
        <f>L32-0.3</f>
        <v>-0.3</v>
      </c>
      <c r="P48" s="189">
        <f>IF(A$6=5,O48*O$72,0)</f>
        <v>0</v>
      </c>
      <c r="Q48" s="1"/>
      <c r="R48" s="1"/>
      <c r="S48" s="1"/>
      <c r="T48" s="200">
        <f>Dimensions!S23</f>
        <v>0</v>
      </c>
      <c r="U48" s="188">
        <f>IF(A$9=5,T48*T$72,0)</f>
        <v>0</v>
      </c>
      <c r="V48" s="188">
        <f>S32-0.3</f>
        <v>-0.3</v>
      </c>
      <c r="W48" s="189">
        <f>IF(A$9=5,V48*V$72,0)</f>
        <v>0</v>
      </c>
      <c r="X48" s="1"/>
      <c r="Y48" s="1"/>
      <c r="Z48" s="1"/>
    </row>
    <row r="49" spans="1:26" ht="12.75">
      <c r="A49" s="1"/>
      <c r="B49" s="1"/>
      <c r="C49" s="118"/>
      <c r="D49" s="118" t="s">
        <v>373</v>
      </c>
      <c r="E49" s="118"/>
      <c r="F49" s="200">
        <f>Dimensions!G15</f>
        <v>0</v>
      </c>
      <c r="G49" s="188">
        <f>IF(A$3=5,F49*F$72,0)</f>
        <v>0</v>
      </c>
      <c r="H49" s="188">
        <f>B24</f>
        <v>-0.35</v>
      </c>
      <c r="I49" s="189">
        <f>IF(A$3=5,H49*H$72,0)</f>
        <v>0</v>
      </c>
      <c r="J49" s="1"/>
      <c r="K49" s="1"/>
      <c r="L49" s="118"/>
      <c r="M49" s="200">
        <f>Dimensions!M15</f>
        <v>0</v>
      </c>
      <c r="N49" s="188">
        <f>IF(A$6=5,M49*M$72,0)</f>
        <v>0</v>
      </c>
      <c r="O49" s="188">
        <f>L24</f>
        <v>-0.35</v>
      </c>
      <c r="P49" s="189">
        <f>IF(A$6=5,O49*O$72,0)</f>
        <v>0</v>
      </c>
      <c r="Q49" s="1"/>
      <c r="R49" s="1"/>
      <c r="S49" s="1"/>
      <c r="T49" s="200">
        <f>Dimensions!S15</f>
        <v>0</v>
      </c>
      <c r="U49" s="188">
        <f>IF(A$9=5,T49*T$72,0)</f>
        <v>0</v>
      </c>
      <c r="V49" s="188">
        <f>S24</f>
        <v>-0.35</v>
      </c>
      <c r="W49" s="189">
        <f>IF(A$9=5,V49*V$72,0)</f>
        <v>0</v>
      </c>
      <c r="X49" s="1"/>
      <c r="Y49" s="1"/>
      <c r="Z49" s="1"/>
    </row>
    <row r="50" spans="1:26" ht="12.75">
      <c r="A50" s="1"/>
      <c r="B50" s="1"/>
      <c r="C50" s="118"/>
      <c r="D50" s="118" t="s">
        <v>374</v>
      </c>
      <c r="E50" s="118"/>
      <c r="F50" s="200">
        <f>Dimensions!G21</f>
        <v>0</v>
      </c>
      <c r="G50" s="188">
        <f>IF(A$3=5,F50*F$72,0)</f>
        <v>0</v>
      </c>
      <c r="H50" s="188">
        <f>B30-0.3</f>
        <v>-0.3</v>
      </c>
      <c r="I50" s="189">
        <f>IF(A$3=5,H50*H$72,0)</f>
        <v>0</v>
      </c>
      <c r="J50" s="1"/>
      <c r="K50" s="1"/>
      <c r="L50" s="118"/>
      <c r="M50" s="200">
        <f>Dimensions!M21</f>
        <v>0</v>
      </c>
      <c r="N50" s="188">
        <f>IF(A$6=5,M50*M$72,0)</f>
        <v>0</v>
      </c>
      <c r="O50" s="188">
        <f>L30-0.3</f>
        <v>-0.3</v>
      </c>
      <c r="P50" s="189">
        <f>IF(A$6=5,O50*O$72,0)</f>
        <v>0</v>
      </c>
      <c r="Q50" s="1"/>
      <c r="R50" s="1"/>
      <c r="S50" s="1"/>
      <c r="T50" s="200">
        <f>Dimensions!S21</f>
        <v>0</v>
      </c>
      <c r="U50" s="188">
        <f>IF(A$9=5,T50*T$72,0)</f>
        <v>0</v>
      </c>
      <c r="V50" s="188">
        <f>S30-0.3</f>
        <v>-0.3</v>
      </c>
      <c r="W50" s="189">
        <f>IF(A$9=5,V50*V$72,0)</f>
        <v>0</v>
      </c>
      <c r="X50" s="1"/>
      <c r="Y50" s="1"/>
      <c r="Z50" s="1"/>
    </row>
    <row r="51" spans="1:26" ht="12.75">
      <c r="A51" s="1"/>
      <c r="B51" s="1"/>
      <c r="C51" s="118"/>
      <c r="D51" s="118" t="s">
        <v>169</v>
      </c>
      <c r="E51" s="118"/>
      <c r="F51" s="203">
        <f>SUM(F47:F50)</f>
        <v>0</v>
      </c>
      <c r="G51" s="195"/>
      <c r="H51" s="194">
        <f>SUM(H47:H50)</f>
        <v>-1.2999999999999998</v>
      </c>
      <c r="I51" s="196"/>
      <c r="J51" s="1"/>
      <c r="K51" s="1"/>
      <c r="L51" s="118"/>
      <c r="M51" s="203">
        <f>SUM(M47:M50)</f>
        <v>0</v>
      </c>
      <c r="N51" s="195"/>
      <c r="O51" s="194">
        <f>SUM(O47:O50)</f>
        <v>-1.2999999999999998</v>
      </c>
      <c r="P51" s="198"/>
      <c r="Q51" s="1"/>
      <c r="R51" s="1"/>
      <c r="S51" s="1"/>
      <c r="T51" s="203">
        <f>SUM(T47:T50)</f>
        <v>0</v>
      </c>
      <c r="U51" s="195"/>
      <c r="V51" s="194">
        <f>SUM(V47:V50)</f>
        <v>-1.2999999999999998</v>
      </c>
      <c r="W51" s="198"/>
      <c r="X51" s="1"/>
      <c r="Y51" s="1"/>
      <c r="Z51" s="1"/>
    </row>
    <row r="52" spans="1:26" ht="12.75">
      <c r="A52" s="1"/>
      <c r="B52" s="1"/>
      <c r="C52" s="118"/>
      <c r="D52" s="118"/>
      <c r="E52" s="118"/>
      <c r="F52" s="191"/>
      <c r="G52" s="192"/>
      <c r="H52" s="191"/>
      <c r="I52" s="191"/>
      <c r="J52" s="1"/>
      <c r="K52" s="1"/>
      <c r="L52" s="118"/>
      <c r="M52" s="191"/>
      <c r="N52" s="192"/>
      <c r="O52" s="191"/>
      <c r="P52" s="192"/>
      <c r="Q52" s="1"/>
      <c r="R52" s="1"/>
      <c r="S52" s="1"/>
      <c r="T52" s="191"/>
      <c r="U52" s="192"/>
      <c r="V52" s="191"/>
      <c r="W52" s="192"/>
      <c r="X52" s="1"/>
      <c r="Y52" s="1"/>
      <c r="Z52" s="1"/>
    </row>
    <row r="53" spans="1:26" ht="12.75">
      <c r="A53" s="1"/>
      <c r="B53" s="1"/>
      <c r="C53" s="118"/>
      <c r="D53" s="211" t="s">
        <v>65</v>
      </c>
      <c r="E53" s="118"/>
      <c r="F53" s="210">
        <f>G18+G24+G32+G39+G47</f>
        <v>0</v>
      </c>
      <c r="G53" s="210"/>
      <c r="H53" s="210">
        <f>I18+I24+I32+I39+I47</f>
        <v>0</v>
      </c>
      <c r="I53" s="1"/>
      <c r="J53" s="1"/>
      <c r="K53" s="118"/>
      <c r="L53" s="191"/>
      <c r="M53" s="210">
        <f>N18+N24+N32+N39+N47</f>
        <v>0</v>
      </c>
      <c r="N53" s="210"/>
      <c r="O53" s="210">
        <f>P18+P24+P32+P39+P47</f>
        <v>0</v>
      </c>
      <c r="P53" s="1"/>
      <c r="Q53" s="1"/>
      <c r="R53" s="1"/>
      <c r="S53" s="191"/>
      <c r="T53" s="210">
        <f>U18+U24+U32+U39+U47</f>
        <v>0</v>
      </c>
      <c r="U53" s="210"/>
      <c r="V53" s="210">
        <f>W18+W24+W32+W39+W47</f>
        <v>0</v>
      </c>
      <c r="W53" s="1"/>
      <c r="X53" s="1"/>
      <c r="Y53" s="1"/>
      <c r="Z53" s="1"/>
    </row>
    <row r="54" spans="1:26" ht="12.75">
      <c r="A54" s="1"/>
      <c r="B54" s="1"/>
      <c r="C54" s="118"/>
      <c r="D54" s="211" t="s">
        <v>59</v>
      </c>
      <c r="E54" s="118"/>
      <c r="F54" s="210">
        <f>G19+G25+G33+G40+G48</f>
        <v>0</v>
      </c>
      <c r="G54" s="210"/>
      <c r="H54" s="210">
        <f>I19+I25+I33+I40+I48</f>
        <v>0</v>
      </c>
      <c r="I54" s="1"/>
      <c r="J54" s="1"/>
      <c r="K54" s="118"/>
      <c r="L54" s="191"/>
      <c r="M54" s="210">
        <f>N19+N25+N33+N40+N48</f>
        <v>0</v>
      </c>
      <c r="N54" s="210"/>
      <c r="O54" s="210">
        <f>P19+P25+P33+P40+P48</f>
        <v>0</v>
      </c>
      <c r="P54" s="1"/>
      <c r="Q54" s="1"/>
      <c r="R54" s="1"/>
      <c r="S54" s="191"/>
      <c r="T54" s="210">
        <f>U19+U25+U33+U40+U48</f>
        <v>0</v>
      </c>
      <c r="U54" s="210"/>
      <c r="V54" s="210">
        <f>W19+W25+W33+W40+W48</f>
        <v>0</v>
      </c>
      <c r="W54" s="1"/>
      <c r="X54" s="1"/>
      <c r="Y54" s="1"/>
      <c r="Z54" s="1"/>
    </row>
    <row r="55" spans="1:26" ht="12.75">
      <c r="A55" s="1"/>
      <c r="B55" s="1"/>
      <c r="C55" s="118"/>
      <c r="D55" s="211" t="s">
        <v>66</v>
      </c>
      <c r="E55" s="118"/>
      <c r="F55" s="210">
        <f>G20+G26+G34+G41+G49</f>
        <v>0</v>
      </c>
      <c r="G55" s="210"/>
      <c r="H55" s="210">
        <f>I20+I26+I34+I41+I49</f>
        <v>0</v>
      </c>
      <c r="I55" s="1"/>
      <c r="J55" s="1"/>
      <c r="K55" s="118"/>
      <c r="L55" s="191"/>
      <c r="M55" s="210">
        <f>N20+N26+N34+N41+N49</f>
        <v>0</v>
      </c>
      <c r="N55" s="210"/>
      <c r="O55" s="210">
        <f>P20+P26+P34+P41+P49</f>
        <v>0</v>
      </c>
      <c r="P55" s="1"/>
      <c r="Q55" s="1"/>
      <c r="R55" s="1"/>
      <c r="S55" s="191"/>
      <c r="T55" s="210">
        <f>U20+U26+U34+U41+U49</f>
        <v>0</v>
      </c>
      <c r="U55" s="210"/>
      <c r="V55" s="210">
        <f>W20+W26+W34+W41+W49</f>
        <v>0</v>
      </c>
      <c r="W55" s="1"/>
      <c r="X55" s="1"/>
      <c r="Y55" s="1"/>
      <c r="Z55" s="1"/>
    </row>
    <row r="56" spans="1:26" ht="12.75">
      <c r="A56" s="1"/>
      <c r="B56" s="1"/>
      <c r="C56" s="118"/>
      <c r="D56" s="211" t="s">
        <v>397</v>
      </c>
      <c r="E56" s="118"/>
      <c r="F56" s="210">
        <f>G21+G27+G35+G42+G50</f>
        <v>0</v>
      </c>
      <c r="G56" s="210"/>
      <c r="H56" s="210">
        <f>I21+I27+I35+I42+I50</f>
        <v>0</v>
      </c>
      <c r="I56" s="1"/>
      <c r="J56" s="1"/>
      <c r="K56" s="118"/>
      <c r="L56" s="191"/>
      <c r="M56" s="210">
        <f>N21+N27+N35+N42+N50</f>
        <v>0</v>
      </c>
      <c r="N56" s="210"/>
      <c r="O56" s="210">
        <f>P21+P27+P35+P42+P50</f>
        <v>0</v>
      </c>
      <c r="P56" s="1"/>
      <c r="Q56" s="1"/>
      <c r="R56" s="1"/>
      <c r="S56" s="191"/>
      <c r="T56" s="210">
        <f>U21+U27+U35+U42+U50</f>
        <v>0</v>
      </c>
      <c r="U56" s="210"/>
      <c r="V56" s="210">
        <f>W21+W27+W35+W42+W50</f>
        <v>0</v>
      </c>
      <c r="W56" s="1"/>
      <c r="X56" s="1"/>
      <c r="Y56" s="1"/>
      <c r="Z56" s="1"/>
    </row>
    <row r="57" spans="1:26" ht="12.75">
      <c r="A57" s="1"/>
      <c r="B57" s="1"/>
      <c r="C57" s="118"/>
      <c r="D57" s="211" t="s">
        <v>64</v>
      </c>
      <c r="E57" s="118"/>
      <c r="F57" s="210">
        <f>G28+G36+G43</f>
        <v>0</v>
      </c>
      <c r="G57" s="210"/>
      <c r="H57" s="210">
        <f>I28+I36+I43</f>
        <v>0</v>
      </c>
      <c r="I57" s="1"/>
      <c r="J57" s="1"/>
      <c r="K57" s="118"/>
      <c r="L57" s="191"/>
      <c r="M57" s="210">
        <f>N28+N36+N43</f>
        <v>0</v>
      </c>
      <c r="N57" s="210"/>
      <c r="O57" s="210">
        <f>P28+P36+P43</f>
        <v>0</v>
      </c>
      <c r="P57" s="1"/>
      <c r="Q57" s="1"/>
      <c r="R57" s="1"/>
      <c r="S57" s="191"/>
      <c r="T57" s="210">
        <f>U28+U36+U43</f>
        <v>0</v>
      </c>
      <c r="U57" s="210"/>
      <c r="V57" s="210">
        <f>W28+W36+W43</f>
        <v>0</v>
      </c>
      <c r="W57" s="1"/>
      <c r="X57" s="1"/>
      <c r="Y57" s="1"/>
      <c r="Z57" s="1"/>
    </row>
    <row r="58" spans="1:26" ht="12.75">
      <c r="A58" s="1"/>
      <c r="B58" s="1"/>
      <c r="C58" s="118"/>
      <c r="D58" s="211" t="s">
        <v>398</v>
      </c>
      <c r="E58" s="118"/>
      <c r="F58" s="210">
        <f>G29+G44</f>
        <v>0</v>
      </c>
      <c r="G58" s="210"/>
      <c r="H58" s="210">
        <f>I29+I44</f>
        <v>0</v>
      </c>
      <c r="I58" s="1"/>
      <c r="J58" s="1"/>
      <c r="K58" s="118"/>
      <c r="L58" s="191"/>
      <c r="M58" s="210">
        <f>N29+N44</f>
        <v>0</v>
      </c>
      <c r="N58" s="210"/>
      <c r="O58" s="210">
        <f>P29+P44</f>
        <v>0</v>
      </c>
      <c r="P58" s="1"/>
      <c r="Q58" s="1"/>
      <c r="R58" s="1"/>
      <c r="S58" s="191"/>
      <c r="T58" s="210">
        <f>U29+U44</f>
        <v>0</v>
      </c>
      <c r="U58" s="210"/>
      <c r="V58" s="210">
        <f>W29+W44</f>
        <v>0</v>
      </c>
      <c r="W58" s="1"/>
      <c r="X58" s="1"/>
      <c r="Y58" s="1"/>
      <c r="Z58" s="1"/>
    </row>
    <row r="59" spans="1:26" ht="12.75">
      <c r="A59" s="1"/>
      <c r="B59" s="1"/>
      <c r="C59" s="118"/>
      <c r="D59" s="1"/>
      <c r="E59" s="208" t="s">
        <v>409</v>
      </c>
      <c r="F59" s="233">
        <f>SUM(F53:F58)</f>
        <v>0</v>
      </c>
      <c r="G59" s="229" t="s">
        <v>80</v>
      </c>
      <c r="H59" s="233">
        <f>SUM(H53:H58)</f>
        <v>0</v>
      </c>
      <c r="I59" s="1" t="s">
        <v>80</v>
      </c>
      <c r="J59" s="448">
        <f>IF(Etude!$Q$27=TRUE,F59,H59)</f>
        <v>0</v>
      </c>
      <c r="K59" s="449"/>
      <c r="L59" s="1" t="s">
        <v>80</v>
      </c>
      <c r="M59" s="233">
        <f>SUM(M53:M58)</f>
        <v>0</v>
      </c>
      <c r="N59" s="229" t="s">
        <v>80</v>
      </c>
      <c r="O59" s="233">
        <f>SUM(O53:O58)</f>
        <v>0</v>
      </c>
      <c r="P59" s="1" t="s">
        <v>80</v>
      </c>
      <c r="Q59" s="448">
        <f>IF(Etude!$Q$27=TRUE,M59,O59)</f>
        <v>0</v>
      </c>
      <c r="R59" s="449"/>
      <c r="S59" s="1" t="s">
        <v>80</v>
      </c>
      <c r="T59" s="233">
        <f>SUM(T53:T58)</f>
        <v>0</v>
      </c>
      <c r="U59" s="229" t="s">
        <v>80</v>
      </c>
      <c r="V59" s="233">
        <f>SUM(V53:V58)</f>
        <v>0</v>
      </c>
      <c r="W59" s="1" t="s">
        <v>80</v>
      </c>
      <c r="X59" s="231">
        <f>IF(Etude!$Q$27=TRUE,T59,V59)</f>
        <v>0</v>
      </c>
      <c r="Y59" s="1" t="s">
        <v>80</v>
      </c>
      <c r="Z59" s="1"/>
    </row>
    <row r="60" spans="1:26" ht="12.75">
      <c r="A60" s="1"/>
      <c r="B60" s="1"/>
      <c r="C60" s="1"/>
      <c r="D60" s="1"/>
      <c r="E60" s="1"/>
      <c r="F60" s="180"/>
      <c r="G60" s="182"/>
      <c r="H60" s="180"/>
      <c r="I60" s="180"/>
      <c r="J60" s="1"/>
      <c r="K60" s="1"/>
      <c r="L60" s="1"/>
      <c r="M60" s="180"/>
      <c r="N60" s="182"/>
      <c r="O60" s="180"/>
      <c r="P60" s="182"/>
      <c r="Q60" s="1"/>
      <c r="R60" s="1"/>
      <c r="S60" s="1"/>
      <c r="T60" s="180"/>
      <c r="U60" s="182"/>
      <c r="V60" s="180"/>
      <c r="W60" s="182"/>
      <c r="X60" s="1"/>
      <c r="Y60" s="1"/>
      <c r="Z60" s="1"/>
    </row>
    <row r="61" spans="1:26" ht="12.75">
      <c r="A61" s="1" t="s">
        <v>329</v>
      </c>
      <c r="B61" s="1"/>
      <c r="C61" s="1"/>
      <c r="D61" s="1" t="s">
        <v>381</v>
      </c>
      <c r="E61" s="1"/>
      <c r="F61" s="212">
        <f>IF(A3=1,F22,0)</f>
        <v>0</v>
      </c>
      <c r="G61" s="212"/>
      <c r="H61" s="212">
        <f>IF(A3=1,H22,0)</f>
        <v>0</v>
      </c>
      <c r="I61" s="212"/>
      <c r="J61" s="209"/>
      <c r="K61" s="209"/>
      <c r="L61" s="209"/>
      <c r="M61" s="212">
        <f>IF(A6=1,M22,0)</f>
        <v>0</v>
      </c>
      <c r="N61" s="212"/>
      <c r="O61" s="212">
        <f>IF(A6=1,O22,0)</f>
        <v>0</v>
      </c>
      <c r="P61" s="212"/>
      <c r="Q61" s="209"/>
      <c r="R61" s="209"/>
      <c r="S61" s="209"/>
      <c r="T61" s="212">
        <f>IF(A9=1,T22,0)</f>
        <v>0</v>
      </c>
      <c r="U61" s="212"/>
      <c r="V61" s="212">
        <f>IF(A9=1,V22,0)</f>
        <v>0</v>
      </c>
      <c r="W61" s="212"/>
      <c r="X61" s="1"/>
      <c r="Y61" s="1"/>
      <c r="Z61" s="1"/>
    </row>
    <row r="62" spans="1:26" ht="12.75">
      <c r="A62" s="1" t="s">
        <v>402</v>
      </c>
      <c r="B62" s="1"/>
      <c r="C62" s="1"/>
      <c r="D62" s="1" t="s">
        <v>382</v>
      </c>
      <c r="E62" s="1"/>
      <c r="F62" s="212">
        <f>IF(A3=2,F30,0)</f>
        <v>0</v>
      </c>
      <c r="G62" s="212"/>
      <c r="H62" s="212">
        <f>IF(A3=2,H30,0)</f>
        <v>0</v>
      </c>
      <c r="I62" s="212"/>
      <c r="J62" s="209"/>
      <c r="K62" s="209"/>
      <c r="L62" s="209"/>
      <c r="M62" s="212">
        <f>IF(A6=2,M30,0)</f>
        <v>0</v>
      </c>
      <c r="N62" s="212"/>
      <c r="O62" s="212">
        <f>IF(A6=2,O30,0)</f>
        <v>0</v>
      </c>
      <c r="P62" s="212"/>
      <c r="Q62" s="209"/>
      <c r="R62" s="209"/>
      <c r="S62" s="209"/>
      <c r="T62" s="212">
        <f>IF(A9=2,T30,0)</f>
        <v>0</v>
      </c>
      <c r="U62" s="212"/>
      <c r="V62" s="212">
        <f>IF(A9=2,V30,0)</f>
        <v>0</v>
      </c>
      <c r="W62" s="212"/>
      <c r="X62" s="1"/>
      <c r="Y62" s="1"/>
      <c r="Z62" s="1"/>
    </row>
    <row r="63" spans="1:26" ht="12.75">
      <c r="A63" s="1" t="s">
        <v>336</v>
      </c>
      <c r="B63" s="1"/>
      <c r="C63" s="1"/>
      <c r="D63" s="1" t="s">
        <v>383</v>
      </c>
      <c r="E63" s="1"/>
      <c r="F63" s="212">
        <f>IF(A3=3,F37,0)</f>
        <v>0</v>
      </c>
      <c r="G63" s="212"/>
      <c r="H63" s="212">
        <f>IF(A3=3,H37,0)</f>
        <v>0</v>
      </c>
      <c r="I63" s="212"/>
      <c r="J63" s="209"/>
      <c r="K63" s="209"/>
      <c r="L63" s="209"/>
      <c r="M63" s="212">
        <f>IF(A6=3,M37,0)</f>
        <v>0</v>
      </c>
      <c r="N63" s="212"/>
      <c r="O63" s="212">
        <f>IF(A6=3,O37,0)</f>
        <v>0</v>
      </c>
      <c r="P63" s="212"/>
      <c r="Q63" s="209"/>
      <c r="R63" s="209"/>
      <c r="S63" s="209"/>
      <c r="T63" s="212">
        <f>IF(A9=3,T37,0)</f>
        <v>0</v>
      </c>
      <c r="U63" s="212"/>
      <c r="V63" s="212">
        <f>IF(A9=3,V37,0)</f>
        <v>0</v>
      </c>
      <c r="W63" s="212"/>
      <c r="X63" s="1"/>
      <c r="Y63" s="1"/>
      <c r="Z63" s="1"/>
    </row>
    <row r="64" spans="1:26" ht="12.75">
      <c r="A64" s="1" t="s">
        <v>337</v>
      </c>
      <c r="B64" s="1"/>
      <c r="C64" s="1"/>
      <c r="D64" s="1" t="s">
        <v>384</v>
      </c>
      <c r="E64" s="1"/>
      <c r="F64" s="212">
        <f>IF(A3=4,F45,0)</f>
        <v>0</v>
      </c>
      <c r="G64" s="212"/>
      <c r="H64" s="212">
        <f>IF(A3=4,H45,0)</f>
        <v>0</v>
      </c>
      <c r="I64" s="212"/>
      <c r="J64" s="209"/>
      <c r="K64" s="209"/>
      <c r="L64" s="209"/>
      <c r="M64" s="212">
        <f>IF(A6=4,M45,0)</f>
        <v>0</v>
      </c>
      <c r="N64" s="212"/>
      <c r="O64" s="212">
        <f>IF(A6=4,O45,0)</f>
        <v>0</v>
      </c>
      <c r="P64" s="212"/>
      <c r="Q64" s="209"/>
      <c r="R64" s="209"/>
      <c r="S64" s="209"/>
      <c r="T64" s="212">
        <f>IF(A9=4,T45,0)</f>
        <v>0</v>
      </c>
      <c r="U64" s="212"/>
      <c r="V64" s="212">
        <f>IF(A9=4,V45,0)</f>
        <v>0</v>
      </c>
      <c r="W64" s="212"/>
      <c r="X64" s="1"/>
      <c r="Y64" s="1"/>
      <c r="Z64" s="1"/>
    </row>
    <row r="65" spans="1:26" ht="12.75">
      <c r="A65" s="1" t="s">
        <v>335</v>
      </c>
      <c r="B65" s="1"/>
      <c r="C65" s="1"/>
      <c r="D65" s="1" t="s">
        <v>385</v>
      </c>
      <c r="E65" s="1"/>
      <c r="F65" s="212">
        <f>IF(A3=5,F51,0)</f>
        <v>0</v>
      </c>
      <c r="G65" s="212"/>
      <c r="H65" s="212">
        <f>IF(A3=5,H51,0)</f>
        <v>0</v>
      </c>
      <c r="I65" s="212"/>
      <c r="J65" s="209"/>
      <c r="K65" s="209"/>
      <c r="L65" s="209"/>
      <c r="M65" s="212">
        <f>IF(A6=5,M51,0)</f>
        <v>0</v>
      </c>
      <c r="N65" s="212"/>
      <c r="O65" s="212">
        <f>IF(A6=5,O51,0)</f>
        <v>0</v>
      </c>
      <c r="P65" s="212"/>
      <c r="Q65" s="209"/>
      <c r="R65" s="209"/>
      <c r="S65" s="209"/>
      <c r="T65" s="212">
        <f>IF(A9=5,T51,0)</f>
        <v>0</v>
      </c>
      <c r="U65" s="212"/>
      <c r="V65" s="212">
        <f>IF(A9=5,V51,0)</f>
        <v>0</v>
      </c>
      <c r="W65" s="212"/>
      <c r="X65" s="1"/>
      <c r="Y65" s="1"/>
      <c r="Z65" s="1"/>
    </row>
    <row r="66" spans="1:26" ht="12.75">
      <c r="A66" s="1"/>
      <c r="B66" s="1"/>
      <c r="C66" s="1"/>
      <c r="D66" s="2" t="s">
        <v>169</v>
      </c>
      <c r="E66" s="1"/>
      <c r="F66" s="234">
        <f>SUM(F61:F65)</f>
        <v>0</v>
      </c>
      <c r="G66" s="229" t="s">
        <v>119</v>
      </c>
      <c r="H66" s="234">
        <f>SUM(H61:H65)</f>
        <v>0</v>
      </c>
      <c r="I66" s="1" t="s">
        <v>119</v>
      </c>
      <c r="J66" s="448">
        <f>IF(Etude!$Q$27=TRUE,F66,H66)</f>
        <v>0</v>
      </c>
      <c r="K66" s="449"/>
      <c r="L66" s="1" t="s">
        <v>80</v>
      </c>
      <c r="M66" s="234">
        <f>SUM(M61:M65)</f>
        <v>0</v>
      </c>
      <c r="N66" s="229" t="s">
        <v>119</v>
      </c>
      <c r="O66" s="234">
        <f>SUM(O61:O65)</f>
        <v>0</v>
      </c>
      <c r="P66" s="1" t="s">
        <v>119</v>
      </c>
      <c r="Q66" s="448">
        <f>IF(Etude!$Q$27=TRUE,M66,O66)</f>
        <v>0</v>
      </c>
      <c r="R66" s="449"/>
      <c r="S66" s="1" t="s">
        <v>80</v>
      </c>
      <c r="T66" s="234">
        <f>SUM(T61:T65)</f>
        <v>0</v>
      </c>
      <c r="U66" s="229" t="s">
        <v>119</v>
      </c>
      <c r="V66" s="234">
        <f>SUM(V61:V65)</f>
        <v>0</v>
      </c>
      <c r="W66" s="1" t="s">
        <v>119</v>
      </c>
      <c r="X66" s="231">
        <f>IF(Etude!$Q$27=TRUE,T66,V66)</f>
        <v>0</v>
      </c>
      <c r="Y66" s="1" t="s">
        <v>80</v>
      </c>
      <c r="Z66" s="1"/>
    </row>
    <row r="67" spans="1:26" ht="12.75">
      <c r="A67" s="1"/>
      <c r="B67" s="1"/>
      <c r="C67" s="1"/>
      <c r="D67" s="1"/>
      <c r="E67" s="1"/>
      <c r="F67" s="235"/>
      <c r="G67" s="232"/>
      <c r="H67" s="234"/>
      <c r="I67" s="180"/>
      <c r="J67" s="230"/>
      <c r="K67" s="230"/>
      <c r="L67" s="1"/>
      <c r="M67" s="235"/>
      <c r="N67" s="229"/>
      <c r="O67" s="234"/>
      <c r="P67" s="180"/>
      <c r="Q67" s="230"/>
      <c r="R67" s="230"/>
      <c r="S67" s="1"/>
      <c r="T67" s="235"/>
      <c r="U67" s="229"/>
      <c r="V67" s="234"/>
      <c r="W67" s="1"/>
      <c r="X67" s="230"/>
      <c r="Y67" s="1"/>
      <c r="Z67" s="1"/>
    </row>
    <row r="68" spans="1:26" ht="12.75">
      <c r="A68" s="1" t="s">
        <v>331</v>
      </c>
      <c r="B68" s="1"/>
      <c r="C68" s="1"/>
      <c r="D68" s="1" t="s">
        <v>376</v>
      </c>
      <c r="E68" s="1"/>
      <c r="F68" s="233">
        <f>IF(A4=1,Dimensions!G19,0)</f>
        <v>0</v>
      </c>
      <c r="G68" s="232"/>
      <c r="H68" s="233">
        <f>IF(A4=1,F68-0.3,0)</f>
        <v>0</v>
      </c>
      <c r="I68" s="237"/>
      <c r="J68" s="238"/>
      <c r="K68" s="238"/>
      <c r="L68" s="238"/>
      <c r="M68" s="233">
        <f>IF(A7=1,Dimensions!M19,0)</f>
        <v>0</v>
      </c>
      <c r="N68" s="229"/>
      <c r="O68" s="233">
        <f>IF(A7=1,M68-0.3,0)</f>
        <v>0</v>
      </c>
      <c r="P68" s="237"/>
      <c r="Q68" s="238"/>
      <c r="R68" s="238"/>
      <c r="S68" s="238"/>
      <c r="T68" s="233">
        <f>IF(A10=1,Dimensions!S19,0)</f>
        <v>0</v>
      </c>
      <c r="U68" s="229"/>
      <c r="V68" s="233">
        <f>IF(A10=1,T68-0.3,0)</f>
        <v>0</v>
      </c>
      <c r="W68" s="238"/>
      <c r="X68" s="230"/>
      <c r="Y68" s="1"/>
      <c r="Z68" s="1"/>
    </row>
    <row r="69" spans="1:26" ht="12.75">
      <c r="A69" s="1" t="s">
        <v>332</v>
      </c>
      <c r="B69" s="1"/>
      <c r="C69" s="1"/>
      <c r="D69" s="1" t="s">
        <v>377</v>
      </c>
      <c r="E69" s="1"/>
      <c r="F69" s="233">
        <f>IF(A4=2,(Dimensions!G19-((Dimensions!G19-Dimensions!G31)*0.5)),0)</f>
        <v>0</v>
      </c>
      <c r="G69" s="232"/>
      <c r="H69" s="233">
        <f>IF(A4=2,F69-0.3,0)</f>
        <v>0</v>
      </c>
      <c r="I69" s="237"/>
      <c r="J69" s="238"/>
      <c r="K69" s="238"/>
      <c r="L69" s="238"/>
      <c r="M69" s="233">
        <f>IF(A7=2,(Dimensions!M19-((Dimensions!M19-Dimensions!M31)*0.5)),0)</f>
        <v>0</v>
      </c>
      <c r="N69" s="229"/>
      <c r="O69" s="233">
        <f>IF(A7=2,M69-0.3,0)</f>
        <v>0</v>
      </c>
      <c r="P69" s="237"/>
      <c r="Q69" s="238"/>
      <c r="R69" s="238"/>
      <c r="S69" s="238"/>
      <c r="T69" s="233">
        <f>IF(A10=2,(Dimensions!S19-((Dimensions!S19-Dimensions!S31)*0.5)),0)</f>
        <v>0</v>
      </c>
      <c r="U69" s="229"/>
      <c r="V69" s="233">
        <f>IF(A10=2,T69-0.3,0)</f>
        <v>0</v>
      </c>
      <c r="W69" s="238"/>
      <c r="X69" s="230"/>
      <c r="Y69" s="1"/>
      <c r="Z69" s="1"/>
    </row>
    <row r="70" spans="1:26" ht="12.75">
      <c r="A70" s="1" t="s">
        <v>333</v>
      </c>
      <c r="B70" s="1"/>
      <c r="C70" s="1"/>
      <c r="D70" s="1" t="s">
        <v>378</v>
      </c>
      <c r="E70" s="1"/>
      <c r="F70" s="233">
        <f>IF(A4=3,(Dimensions!G19-((Dimensions!G19-Dimensions!G31)*0.5)),0)</f>
        <v>0</v>
      </c>
      <c r="G70" s="232"/>
      <c r="H70" s="233">
        <f>IF(A4=3,F70-0.3,0)</f>
        <v>0</v>
      </c>
      <c r="I70" s="237"/>
      <c r="J70" s="238"/>
      <c r="K70" s="238"/>
      <c r="L70" s="238"/>
      <c r="M70" s="233">
        <f>IF(A7=3,(Dimensions!M19-((Dimensions!M19-Dimensions!M31)*0.5)),0)</f>
        <v>0</v>
      </c>
      <c r="N70" s="229"/>
      <c r="O70" s="233">
        <f>IF(A7=3,M70-0.3,0)</f>
        <v>0</v>
      </c>
      <c r="P70" s="237"/>
      <c r="Q70" s="238"/>
      <c r="R70" s="238"/>
      <c r="S70" s="238"/>
      <c r="T70" s="233">
        <f>IF(A10=3,(Dimensions!S19-((Dimensions!S19-Dimensions!S31)*0.5)),0)</f>
        <v>0</v>
      </c>
      <c r="U70" s="229"/>
      <c r="V70" s="233">
        <f>IF(A10=3,T70-0.3,0)</f>
        <v>0</v>
      </c>
      <c r="W70" s="238"/>
      <c r="X70" s="230"/>
      <c r="Y70" s="1"/>
      <c r="Z70" s="1"/>
    </row>
    <row r="71" spans="1:26" ht="12.75">
      <c r="A71" s="1" t="s">
        <v>403</v>
      </c>
      <c r="B71" s="1"/>
      <c r="C71" s="1"/>
      <c r="D71" s="1" t="s">
        <v>379</v>
      </c>
      <c r="E71" s="1"/>
      <c r="F71" s="233">
        <f>IF(A4=4,((Dimensions!G19-((Dimensions!G17-Dimensions!G23)/2))+(((Dimensions!G19+Dimensions!G31)/2)*(Dimensions!G23/Dimensions!G17))/Dimensions!G17),0)</f>
        <v>0</v>
      </c>
      <c r="G71" s="232"/>
      <c r="H71" s="233">
        <f>IF(A4=4,F71-0.3,0)</f>
        <v>0</v>
      </c>
      <c r="I71" s="237"/>
      <c r="J71" s="238"/>
      <c r="K71" s="238"/>
      <c r="L71" s="238"/>
      <c r="M71" s="233">
        <f>IF(A7=4,((Dimensions!M19-((Dimensions!M17-Dimensions!M23)/2))+(((Dimensions!M19+Dimensions!M31)/2)*(Dimensions!M23/Dimensions!M17))/Dimensions!M17),0)</f>
        <v>0</v>
      </c>
      <c r="N71" s="229"/>
      <c r="O71" s="233">
        <f>IF(A7=4,M71-0.3,0)</f>
        <v>0</v>
      </c>
      <c r="P71" s="237"/>
      <c r="Q71" s="238"/>
      <c r="R71" s="238"/>
      <c r="S71" s="238"/>
      <c r="T71" s="233">
        <f>IF(A10=4,((Dimensions!S19-((Dimensions!S17-Dimensions!S23)/2))+(((Dimensions!S19+Dimensions!S31)/2)*(Dimensions!S23/Dimensions!S17))/Dimensions!S17),0)</f>
        <v>0</v>
      </c>
      <c r="U71" s="229"/>
      <c r="V71" s="233">
        <f>IF(A10=4,T71-0.3,0)</f>
        <v>0</v>
      </c>
      <c r="W71" s="238"/>
      <c r="X71" s="230"/>
      <c r="Y71" s="1"/>
      <c r="Z71" s="1"/>
    </row>
    <row r="72" spans="1:26" ht="12.75">
      <c r="A72" s="1"/>
      <c r="B72" s="1"/>
      <c r="C72" s="1"/>
      <c r="D72" s="1"/>
      <c r="E72" s="208" t="s">
        <v>408</v>
      </c>
      <c r="F72" s="234">
        <f>SUM(F68:F71)</f>
        <v>0</v>
      </c>
      <c r="G72" s="229" t="s">
        <v>119</v>
      </c>
      <c r="H72" s="234">
        <f>SUM(H68:H71)</f>
        <v>0</v>
      </c>
      <c r="I72" s="1" t="s">
        <v>119</v>
      </c>
      <c r="J72" s="448">
        <f>IF(Etude!$Q$27=TRUE,F72,H72)</f>
        <v>0</v>
      </c>
      <c r="K72" s="449"/>
      <c r="L72" s="1" t="s">
        <v>80</v>
      </c>
      <c r="M72" s="234">
        <f>SUM(M68:M71)</f>
        <v>0</v>
      </c>
      <c r="N72" s="229" t="s">
        <v>119</v>
      </c>
      <c r="O72" s="234">
        <f>SUM(O68:O71)</f>
        <v>0</v>
      </c>
      <c r="P72" s="1" t="s">
        <v>119</v>
      </c>
      <c r="Q72" s="448">
        <f>IF(Etude!$Q$27=TRUE,M72,O72)</f>
        <v>0</v>
      </c>
      <c r="R72" s="449"/>
      <c r="S72" s="1" t="s">
        <v>80</v>
      </c>
      <c r="T72" s="234">
        <f>SUM(T68:T71)</f>
        <v>0</v>
      </c>
      <c r="U72" s="229" t="s">
        <v>119</v>
      </c>
      <c r="V72" s="234">
        <f>SUM(V68:V71)</f>
        <v>0</v>
      </c>
      <c r="W72" s="1" t="s">
        <v>119</v>
      </c>
      <c r="X72" s="231">
        <f>IF(Etude!$Q$27=TRUE,T72,V72)</f>
        <v>0</v>
      </c>
      <c r="Y72" s="1" t="s">
        <v>80</v>
      </c>
      <c r="Z72" s="1"/>
    </row>
    <row r="73" spans="1:26" ht="12.75">
      <c r="A73" s="1"/>
      <c r="B73" s="1"/>
      <c r="C73" s="1"/>
      <c r="D73" s="1"/>
      <c r="E73" s="181"/>
      <c r="F73" s="235"/>
      <c r="G73" s="232"/>
      <c r="H73" s="234"/>
      <c r="I73" s="180"/>
      <c r="J73" s="230"/>
      <c r="K73" s="230"/>
      <c r="L73" s="1"/>
      <c r="M73" s="235"/>
      <c r="N73" s="229"/>
      <c r="O73" s="235"/>
      <c r="P73" s="1"/>
      <c r="Q73" s="230"/>
      <c r="R73" s="230"/>
      <c r="S73" s="1"/>
      <c r="T73" s="235"/>
      <c r="U73" s="229"/>
      <c r="V73" s="235"/>
      <c r="W73" s="1"/>
      <c r="X73" s="230"/>
      <c r="Y73" s="1"/>
      <c r="Z73" s="1"/>
    </row>
    <row r="74" spans="1:26" ht="12.75">
      <c r="A74" s="1"/>
      <c r="B74" s="1"/>
      <c r="C74" s="1"/>
      <c r="D74" s="216" t="s">
        <v>380</v>
      </c>
      <c r="E74" s="1"/>
      <c r="F74" s="235"/>
      <c r="G74" s="229"/>
      <c r="H74" s="234"/>
      <c r="I74" s="180"/>
      <c r="J74" s="230"/>
      <c r="K74" s="230"/>
      <c r="L74" s="1"/>
      <c r="M74" s="235"/>
      <c r="N74" s="229"/>
      <c r="O74" s="235"/>
      <c r="P74" s="1"/>
      <c r="Q74" s="230"/>
      <c r="R74" s="230"/>
      <c r="S74" s="1"/>
      <c r="T74" s="235"/>
      <c r="U74" s="229"/>
      <c r="V74" s="235"/>
      <c r="W74" s="1"/>
      <c r="X74" s="230"/>
      <c r="Y74" s="1"/>
      <c r="Z74" s="1"/>
    </row>
    <row r="75" spans="1:26" ht="12.75">
      <c r="A75" s="1"/>
      <c r="B75" s="1"/>
      <c r="C75" s="1"/>
      <c r="D75" s="1"/>
      <c r="E75" s="208" t="s">
        <v>404</v>
      </c>
      <c r="F75" s="234">
        <f>IF(A4&gt;1,F9*1.1,F9)</f>
        <v>0</v>
      </c>
      <c r="G75" s="229" t="s">
        <v>80</v>
      </c>
      <c r="H75" s="234">
        <f>IF(A4&gt;1,H9*1.1,H9)</f>
        <v>0</v>
      </c>
      <c r="I75" s="1" t="s">
        <v>80</v>
      </c>
      <c r="J75" s="448">
        <f>IF(Etude!$Q$27=TRUE,F75,H75)</f>
        <v>0</v>
      </c>
      <c r="K75" s="449"/>
      <c r="L75" s="1" t="s">
        <v>80</v>
      </c>
      <c r="M75" s="234">
        <f>IF(A7&gt;1,M9*1.1,M9)</f>
        <v>0</v>
      </c>
      <c r="N75" s="229" t="s">
        <v>80</v>
      </c>
      <c r="O75" s="234">
        <f>IF(A7&gt;1,O9*1.1,O9)</f>
        <v>0</v>
      </c>
      <c r="P75" s="1" t="s">
        <v>80</v>
      </c>
      <c r="Q75" s="448">
        <f>IF(Etude!$Q$27=TRUE,M75,O75)</f>
        <v>0</v>
      </c>
      <c r="R75" s="449"/>
      <c r="S75" s="1" t="s">
        <v>80</v>
      </c>
      <c r="T75" s="234">
        <f>IF(A9&gt;1,T9*1.1,T9)</f>
        <v>0</v>
      </c>
      <c r="U75" s="229" t="s">
        <v>80</v>
      </c>
      <c r="V75" s="234">
        <f>IF(A7&gt;1,V9*1.1,V9)</f>
        <v>0</v>
      </c>
      <c r="W75" s="1" t="s">
        <v>80</v>
      </c>
      <c r="X75" s="231">
        <f>IF(Etude!$Q$27=TRUE,T75,V75)</f>
        <v>0</v>
      </c>
      <c r="Y75" s="1" t="s">
        <v>80</v>
      </c>
      <c r="Z75" s="1"/>
    </row>
    <row r="76" spans="1:26" ht="9.75" customHeight="1">
      <c r="A76" s="1"/>
      <c r="B76" s="1"/>
      <c r="C76" s="1"/>
      <c r="D76" s="1"/>
      <c r="E76" s="1"/>
      <c r="F76" s="234"/>
      <c r="G76" s="229"/>
      <c r="H76" s="234"/>
      <c r="I76" s="1"/>
      <c r="J76" s="230"/>
      <c r="K76" s="230"/>
      <c r="L76" s="1"/>
      <c r="M76" s="234"/>
      <c r="N76" s="229"/>
      <c r="O76" s="234"/>
      <c r="P76" s="1"/>
      <c r="Q76" s="230"/>
      <c r="R76" s="230"/>
      <c r="S76" s="1"/>
      <c r="T76" s="234"/>
      <c r="U76" s="229"/>
      <c r="V76" s="234"/>
      <c r="W76" s="1"/>
      <c r="X76" s="230"/>
      <c r="Y76" s="1"/>
      <c r="Z76" s="1"/>
    </row>
    <row r="77" spans="1:26" ht="12.75">
      <c r="A77" s="1"/>
      <c r="B77" s="1"/>
      <c r="C77" s="2"/>
      <c r="D77" s="1"/>
      <c r="E77" s="208" t="s">
        <v>405</v>
      </c>
      <c r="F77" s="234">
        <f>F9</f>
        <v>0</v>
      </c>
      <c r="G77" s="232" t="s">
        <v>80</v>
      </c>
      <c r="H77" s="236">
        <f>H9</f>
        <v>0</v>
      </c>
      <c r="I77" s="214" t="s">
        <v>80</v>
      </c>
      <c r="J77" s="448">
        <f>IF(Etude!$Q$27=TRUE,F77,H77)</f>
        <v>0</v>
      </c>
      <c r="K77" s="449"/>
      <c r="L77" s="1" t="s">
        <v>80</v>
      </c>
      <c r="M77" s="234">
        <f>M9</f>
        <v>0</v>
      </c>
      <c r="N77" s="232" t="s">
        <v>80</v>
      </c>
      <c r="O77" s="234">
        <f>O9</f>
        <v>0</v>
      </c>
      <c r="P77" s="214" t="s">
        <v>80</v>
      </c>
      <c r="Q77" s="448">
        <f>IF(Etude!$Q$27=TRUE,M77,O77)</f>
        <v>0</v>
      </c>
      <c r="R77" s="449"/>
      <c r="S77" s="1" t="s">
        <v>80</v>
      </c>
      <c r="T77" s="234">
        <f>T9</f>
        <v>0</v>
      </c>
      <c r="U77" s="232" t="s">
        <v>80</v>
      </c>
      <c r="V77" s="234">
        <f>V9</f>
        <v>0</v>
      </c>
      <c r="W77" s="214" t="s">
        <v>80</v>
      </c>
      <c r="X77" s="231">
        <f>IF(Etude!$Q$27=TRUE,T77,V77)</f>
        <v>0</v>
      </c>
      <c r="Y77" s="1" t="s">
        <v>80</v>
      </c>
      <c r="Z77" s="1"/>
    </row>
    <row r="78" spans="1:26" ht="9.75" customHeight="1">
      <c r="A78" s="1"/>
      <c r="B78" s="1"/>
      <c r="C78" s="1"/>
      <c r="D78" s="1"/>
      <c r="E78" s="1"/>
      <c r="F78" s="234"/>
      <c r="G78" s="229"/>
      <c r="H78" s="234"/>
      <c r="I78" s="1"/>
      <c r="J78" s="230"/>
      <c r="K78" s="230"/>
      <c r="L78" s="1"/>
      <c r="M78" s="234"/>
      <c r="N78" s="229"/>
      <c r="O78" s="234"/>
      <c r="P78" s="1"/>
      <c r="Q78" s="230"/>
      <c r="R78" s="230"/>
      <c r="S78" s="1"/>
      <c r="T78" s="234"/>
      <c r="U78" s="229"/>
      <c r="V78" s="234"/>
      <c r="W78" s="1"/>
      <c r="X78" s="230"/>
      <c r="Y78" s="1"/>
      <c r="Z78" s="1"/>
    </row>
    <row r="79" spans="1:26" ht="14.25">
      <c r="A79" s="1"/>
      <c r="B79" s="1"/>
      <c r="C79" s="1"/>
      <c r="D79" s="1"/>
      <c r="E79" s="208" t="s">
        <v>406</v>
      </c>
      <c r="F79" s="234">
        <f>F15</f>
        <v>0</v>
      </c>
      <c r="G79" s="232" t="s">
        <v>400</v>
      </c>
      <c r="H79" s="236">
        <f>H15</f>
        <v>0</v>
      </c>
      <c r="I79" s="214" t="s">
        <v>400</v>
      </c>
      <c r="J79" s="448">
        <f>IF(Etude!$Q$27=TRUE,F79,H79)</f>
        <v>0</v>
      </c>
      <c r="K79" s="449"/>
      <c r="L79" s="1" t="s">
        <v>80</v>
      </c>
      <c r="M79" s="234">
        <f>M15</f>
        <v>0</v>
      </c>
      <c r="N79" s="232" t="s">
        <v>400</v>
      </c>
      <c r="O79" s="234">
        <f>O15</f>
        <v>0</v>
      </c>
      <c r="P79" s="214" t="s">
        <v>400</v>
      </c>
      <c r="Q79" s="448">
        <f>IF(Etude!$Q$27=TRUE,M79,O79)</f>
        <v>0</v>
      </c>
      <c r="R79" s="449"/>
      <c r="S79" s="1" t="s">
        <v>80</v>
      </c>
      <c r="T79" s="234">
        <f>T15</f>
        <v>0</v>
      </c>
      <c r="U79" s="232" t="s">
        <v>400</v>
      </c>
      <c r="V79" s="234">
        <f>V15</f>
        <v>0</v>
      </c>
      <c r="W79" s="214" t="s">
        <v>400</v>
      </c>
      <c r="X79" s="231">
        <f>IF(Etude!$Q$27=TRUE,T79,V79)</f>
        <v>0</v>
      </c>
      <c r="Y79" s="1" t="s">
        <v>80</v>
      </c>
      <c r="Z79" s="1"/>
    </row>
    <row r="80" spans="1:26" ht="9.75" customHeight="1">
      <c r="A80" s="1"/>
      <c r="B80" s="1"/>
      <c r="C80" s="1"/>
      <c r="D80" s="2"/>
      <c r="E80" s="1"/>
      <c r="F80" s="236"/>
      <c r="G80" s="232"/>
      <c r="H80" s="236"/>
      <c r="I80" s="214"/>
      <c r="J80" s="230"/>
      <c r="K80" s="230"/>
      <c r="L80" s="1"/>
      <c r="M80" s="236"/>
      <c r="N80" s="232"/>
      <c r="O80" s="236"/>
      <c r="P80" s="214"/>
      <c r="Q80" s="230"/>
      <c r="R80" s="230"/>
      <c r="S80" s="1"/>
      <c r="T80" s="236"/>
      <c r="U80" s="232"/>
      <c r="V80" s="236"/>
      <c r="W80" s="214"/>
      <c r="X80" s="230"/>
      <c r="Y80" s="1"/>
      <c r="Z80" s="1"/>
    </row>
    <row r="81" spans="1:26" ht="12.75">
      <c r="A81" s="1"/>
      <c r="B81" s="1"/>
      <c r="C81" s="1"/>
      <c r="D81" s="1"/>
      <c r="E81" s="208" t="s">
        <v>407</v>
      </c>
      <c r="F81" s="234">
        <f>F9+F75+(F66*F72)</f>
        <v>0</v>
      </c>
      <c r="G81" s="229" t="s">
        <v>80</v>
      </c>
      <c r="H81" s="234">
        <f>H9+H75+(H66*H72)</f>
        <v>0</v>
      </c>
      <c r="I81" s="1" t="s">
        <v>80</v>
      </c>
      <c r="J81" s="448">
        <f>IF(Etude!$Q$27=TRUE,F81,H81)</f>
        <v>0</v>
      </c>
      <c r="K81" s="449"/>
      <c r="L81" s="1" t="s">
        <v>80</v>
      </c>
      <c r="M81" s="234">
        <f>M9+M75+(M66*M72)</f>
        <v>0</v>
      </c>
      <c r="N81" s="229" t="s">
        <v>80</v>
      </c>
      <c r="O81" s="234">
        <f>O9+O75+(O66*O72)</f>
        <v>0</v>
      </c>
      <c r="P81" s="1" t="s">
        <v>80</v>
      </c>
      <c r="Q81" s="448">
        <f>IF(Etude!$Q$27=TRUE,M81,O81)</f>
        <v>0</v>
      </c>
      <c r="R81" s="449"/>
      <c r="S81" s="1" t="s">
        <v>80</v>
      </c>
      <c r="T81" s="234">
        <f>T9+T75+(T66*T72)</f>
        <v>0</v>
      </c>
      <c r="U81" s="229" t="s">
        <v>80</v>
      </c>
      <c r="V81" s="234">
        <f>V9+V75+(V66*V72)</f>
        <v>0</v>
      </c>
      <c r="W81" s="1" t="s">
        <v>80</v>
      </c>
      <c r="X81" s="231">
        <f>IF(Etude!$Q$27=TRUE,T81,V81)</f>
        <v>0</v>
      </c>
      <c r="Y81" s="1" t="s">
        <v>80</v>
      </c>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sheetData>
  <sheetProtection/>
  <mergeCells count="14">
    <mergeCell ref="J81:K81"/>
    <mergeCell ref="Q59:R59"/>
    <mergeCell ref="Q66:R66"/>
    <mergeCell ref="Q72:R72"/>
    <mergeCell ref="Q75:R75"/>
    <mergeCell ref="Q77:R77"/>
    <mergeCell ref="Q79:R79"/>
    <mergeCell ref="Q81:R81"/>
    <mergeCell ref="J59:K59"/>
    <mergeCell ref="J66:K66"/>
    <mergeCell ref="J72:K72"/>
    <mergeCell ref="J75:K75"/>
    <mergeCell ref="J77:K77"/>
    <mergeCell ref="J79:K79"/>
  </mergeCells>
  <conditionalFormatting sqref="W59:Y59 E73:E74 A68:A70 E76 E80 E60:E67 E78 E71 E4:E58 L59 F4:W52 F53:J59 J81 K53:L58 F60:I81 Q59 J60:L65 J66 L66 J67:L71 J72 L72 J73:L74 J75 L75 J76:L76 J77 L77 J78:L78 J79 L79 J80:L80 L81 T53:V59 Q53:S58 S59 M53:P81 T60:W81 Q60:S65 Q66 S66 Q67:S71 Q72 S72 Q73:S74 Q75 S75 Q76:S76 Q77 S77 Q78:S78 Q79 S79 Q80:S80 S81 Q81 X66:Y66 X72:Y72 X75:Y75 X77:Y77 X79:Y79 X81:Y81">
    <cfRule type="cellIs" priority="1" dxfId="4" operator="equal" stopIfTrue="1">
      <formula>0</formula>
    </cfRule>
  </conditionalFormatting>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Feuil7"/>
  <dimension ref="A1:BQ123"/>
  <sheetViews>
    <sheetView zoomScalePageLayoutView="0" workbookViewId="0" topLeftCell="A79">
      <selection activeCell="D23" sqref="D23"/>
    </sheetView>
  </sheetViews>
  <sheetFormatPr defaultColWidth="11.421875" defaultRowHeight="12.75"/>
  <cols>
    <col min="1" max="1" width="3.7109375" style="0" customWidth="1"/>
    <col min="2" max="2" width="1.7109375" style="0" customWidth="1"/>
    <col min="3" max="3" width="35.7109375" style="0" customWidth="1"/>
    <col min="4" max="12" width="2.7109375" style="0" customWidth="1"/>
    <col min="13" max="13" width="1.7109375" style="0" customWidth="1"/>
    <col min="14" max="15" width="2.7109375" style="0" customWidth="1"/>
    <col min="16" max="16" width="5.7109375" style="0" customWidth="1"/>
    <col min="17" max="17" width="3.7109375" style="0" customWidth="1"/>
    <col min="18" max="18" width="4.7109375" style="0" customWidth="1"/>
    <col min="19" max="21" width="3.7109375" style="0" customWidth="1"/>
    <col min="22" max="30" width="2.7109375" style="0" customWidth="1"/>
    <col min="31" max="31" width="1.7109375" style="0" customWidth="1"/>
    <col min="32" max="33" width="2.7109375" style="0" customWidth="1"/>
    <col min="34" max="34" width="5.7109375" style="0" customWidth="1"/>
    <col min="35" max="35" width="3.7109375" style="0" customWidth="1"/>
    <col min="36" max="36" width="4.7109375" style="0" customWidth="1"/>
    <col min="37" max="39" width="3.7109375" style="0" customWidth="1"/>
    <col min="40" max="48" width="2.7109375" style="0" customWidth="1"/>
    <col min="49" max="49" width="1.7109375" style="0" customWidth="1"/>
    <col min="50" max="51" width="2.7109375" style="0" customWidth="1"/>
    <col min="52" max="52" width="5.7109375" style="0" customWidth="1"/>
    <col min="53" max="53" width="3.7109375" style="0" customWidth="1"/>
    <col min="54" max="54" width="4.7109375" style="0" customWidth="1"/>
    <col min="55" max="57" width="3.7109375" style="0" customWidth="1"/>
    <col min="58" max="59" width="2.7109375" style="0" customWidth="1"/>
    <col min="60" max="60" width="6.7109375" style="0" customWidth="1"/>
    <col min="61" max="62" width="4.7109375" style="0" customWidth="1"/>
    <col min="63" max="64" width="3.7109375" style="0" customWidth="1"/>
    <col min="65" max="65" width="1.7109375" style="0" customWidth="1"/>
    <col min="66" max="66" width="5.7109375" style="0" customWidth="1"/>
    <col min="67" max="67" width="4.7109375" style="0" customWidth="1"/>
    <col min="68" max="68" width="8.7109375" style="0" customWidth="1"/>
    <col min="69" max="69" width="6.7109375" style="0" customWidth="1"/>
    <col min="71" max="71" width="2.7109375" style="0" customWidth="1"/>
    <col min="72" max="72" width="1.7109375" style="0" customWidth="1"/>
    <col min="73" max="73" width="6.7109375" style="0" customWidth="1"/>
    <col min="74" max="74" width="7.7109375" style="0" customWidth="1"/>
    <col min="75" max="75" width="6.7109375" style="0" customWidth="1"/>
  </cols>
  <sheetData>
    <row r="1" spans="3:66" ht="15">
      <c r="C1" s="28" t="s">
        <v>71</v>
      </c>
      <c r="D1" s="21"/>
      <c r="E1" s="42" t="s">
        <v>72</v>
      </c>
      <c r="F1" s="43"/>
      <c r="G1" s="43"/>
      <c r="H1" s="21"/>
      <c r="I1" s="21"/>
      <c r="K1" s="21"/>
      <c r="O1" s="21"/>
      <c r="P1" s="21"/>
      <c r="Q1" s="21"/>
      <c r="R1" s="21"/>
      <c r="S1" s="21"/>
      <c r="T1" s="21"/>
      <c r="U1" s="21"/>
      <c r="V1" s="21"/>
      <c r="W1" s="42" t="s">
        <v>73</v>
      </c>
      <c r="X1" s="43"/>
      <c r="Y1" s="43"/>
      <c r="Z1" s="21"/>
      <c r="AA1" s="21"/>
      <c r="AC1" s="21"/>
      <c r="AD1" s="21"/>
      <c r="AE1" s="21"/>
      <c r="AF1" s="21"/>
      <c r="AG1" s="21"/>
      <c r="AH1" s="21"/>
      <c r="AI1" s="21"/>
      <c r="AJ1" s="21"/>
      <c r="AK1" s="21"/>
      <c r="AL1" s="21"/>
      <c r="AM1" s="21"/>
      <c r="AN1" s="21"/>
      <c r="AO1" s="42" t="s">
        <v>74</v>
      </c>
      <c r="AP1" s="43"/>
      <c r="AQ1" s="43"/>
      <c r="AR1" s="21"/>
      <c r="AS1" s="21"/>
      <c r="AU1" s="21"/>
      <c r="AV1" s="21"/>
      <c r="AW1" s="21"/>
      <c r="AX1" s="21"/>
      <c r="AY1" s="21"/>
      <c r="AZ1" s="21"/>
      <c r="BA1" s="21"/>
      <c r="BB1" s="21"/>
      <c r="BC1" s="21"/>
      <c r="BD1" s="21"/>
      <c r="BE1" s="21"/>
      <c r="BI1" s="21"/>
      <c r="BJ1" s="21"/>
      <c r="BK1" s="21"/>
      <c r="BL1" s="21"/>
      <c r="BM1" s="21"/>
      <c r="BN1" s="21"/>
    </row>
    <row r="2" spans="3:66" ht="12.75">
      <c r="C2" s="398" t="s">
        <v>548</v>
      </c>
      <c r="D2" s="21"/>
      <c r="E2" s="32">
        <f>IF(Dimensions!$G$10=1,0,1)</f>
        <v>0</v>
      </c>
      <c r="F2" s="32">
        <f>IF(Etude!$G$10=2,1,0)</f>
        <v>0</v>
      </c>
      <c r="G2" s="21"/>
      <c r="H2" s="32">
        <f>IF(E2+F2=2,1,0)</f>
        <v>0</v>
      </c>
      <c r="I2" s="21"/>
      <c r="J2" s="32">
        <f>IF(Dimensions!G10=2,1,0)</f>
        <v>0</v>
      </c>
      <c r="L2" s="21" t="s">
        <v>312</v>
      </c>
      <c r="M2" s="21"/>
      <c r="O2" s="21"/>
      <c r="P2" s="21"/>
      <c r="Q2" s="21"/>
      <c r="R2" s="21"/>
      <c r="S2" s="21"/>
      <c r="T2" s="21"/>
      <c r="U2" s="21"/>
      <c r="V2" s="21"/>
      <c r="W2" s="32">
        <f>IF(Dimensions!$M$10=1,0,1)</f>
        <v>0</v>
      </c>
      <c r="X2" s="32">
        <f>IF(Etude!$M$10=2,1,0)</f>
        <v>0</v>
      </c>
      <c r="Y2" s="21"/>
      <c r="Z2" s="32">
        <f>IF(W2+X2=2,1,0)</f>
        <v>0</v>
      </c>
      <c r="AA2" s="21"/>
      <c r="AB2" s="32">
        <f>IF(Dimensions!M10=2,1,0)</f>
        <v>0</v>
      </c>
      <c r="AC2" s="21"/>
      <c r="AD2" s="21" t="s">
        <v>312</v>
      </c>
      <c r="AE2" s="21"/>
      <c r="AG2" s="21"/>
      <c r="AH2" s="21"/>
      <c r="AI2" s="21"/>
      <c r="AJ2" s="21"/>
      <c r="AK2" s="21"/>
      <c r="AL2" s="21"/>
      <c r="AM2" s="21"/>
      <c r="AN2" s="21"/>
      <c r="AO2" s="32">
        <f>IF(Dimensions!$S$10=1,0,1)</f>
        <v>0</v>
      </c>
      <c r="AP2" s="32">
        <f>IF(Etude!$S$10=2,1,0)</f>
        <v>0</v>
      </c>
      <c r="AQ2" s="21"/>
      <c r="AR2" s="32">
        <f>IF(AO2+AP2=2,1,0)</f>
        <v>0</v>
      </c>
      <c r="AS2" s="21"/>
      <c r="AT2" s="32">
        <f>IF(Dimensions!S10=2,1,0)</f>
        <v>0</v>
      </c>
      <c r="AU2" s="21"/>
      <c r="AV2" s="21" t="s">
        <v>312</v>
      </c>
      <c r="AW2" s="21"/>
      <c r="AY2" s="21"/>
      <c r="AZ2" s="21"/>
      <c r="BA2" s="21"/>
      <c r="BB2" s="21"/>
      <c r="BC2" s="21"/>
      <c r="BD2" s="21"/>
      <c r="BE2" s="21"/>
      <c r="BI2" s="21"/>
      <c r="BJ2" s="21"/>
      <c r="BK2" s="21"/>
      <c r="BL2" s="21"/>
      <c r="BM2" s="21"/>
      <c r="BN2" s="21"/>
    </row>
    <row r="3" spans="3:66" ht="12.75">
      <c r="C3" s="290" t="s">
        <v>549</v>
      </c>
      <c r="D3" s="21"/>
      <c r="E3" s="32">
        <f>IF(Dimensions!$G$10=1,0,1)</f>
        <v>0</v>
      </c>
      <c r="F3" s="32">
        <f>IF(Etude!$G$10=3,1,0)</f>
        <v>0</v>
      </c>
      <c r="G3" s="21"/>
      <c r="H3" s="32">
        <f>IF(E3+F3=2,1,0)</f>
        <v>0</v>
      </c>
      <c r="I3" s="21"/>
      <c r="J3" s="32">
        <f>IF(Dimensions!G10=3,1,0)</f>
        <v>0</v>
      </c>
      <c r="L3" s="21" t="s">
        <v>313</v>
      </c>
      <c r="M3" s="21"/>
      <c r="O3" s="21"/>
      <c r="P3" s="21"/>
      <c r="Q3" s="21"/>
      <c r="R3" s="21"/>
      <c r="S3" s="21"/>
      <c r="T3" s="21"/>
      <c r="U3" s="21"/>
      <c r="V3" s="21"/>
      <c r="W3" s="32">
        <f>IF(Dimensions!$M$10=1,0,1)</f>
        <v>0</v>
      </c>
      <c r="X3" s="32">
        <f>IF(Etude!$M$10=3,1,0)</f>
        <v>0</v>
      </c>
      <c r="Y3" s="21"/>
      <c r="Z3" s="32">
        <f>IF(W3+X3=2,1,0)</f>
        <v>0</v>
      </c>
      <c r="AA3" s="21"/>
      <c r="AB3" s="32">
        <f>IF(Dimensions!M10=3,1,0)</f>
        <v>0</v>
      </c>
      <c r="AC3" s="21"/>
      <c r="AD3" s="21" t="s">
        <v>313</v>
      </c>
      <c r="AE3" s="21"/>
      <c r="AG3" s="21"/>
      <c r="AH3" s="21"/>
      <c r="AI3" s="21"/>
      <c r="AJ3" s="21"/>
      <c r="AK3" s="21"/>
      <c r="AL3" s="21"/>
      <c r="AM3" s="21"/>
      <c r="AN3" s="21"/>
      <c r="AO3" s="32">
        <f>IF(Dimensions!$S$10=1,0,1)</f>
        <v>0</v>
      </c>
      <c r="AP3" s="32">
        <f>IF(Etude!$S$10=3,1,0)</f>
        <v>0</v>
      </c>
      <c r="AQ3" s="21"/>
      <c r="AR3" s="32">
        <f>IF(AO3+AP3=2,1,0)</f>
        <v>0</v>
      </c>
      <c r="AS3" s="21"/>
      <c r="AT3" s="32">
        <f>IF(Dimensions!S10=3,1,0)</f>
        <v>0</v>
      </c>
      <c r="AU3" s="21"/>
      <c r="AV3" s="21" t="s">
        <v>313</v>
      </c>
      <c r="AW3" s="21"/>
      <c r="AY3" s="21"/>
      <c r="AZ3" s="21"/>
      <c r="BA3" s="21"/>
      <c r="BB3" s="21"/>
      <c r="BC3" s="21"/>
      <c r="BD3" s="21"/>
      <c r="BE3" s="21"/>
      <c r="BI3" s="21"/>
      <c r="BJ3" s="21"/>
      <c r="BK3" s="21"/>
      <c r="BL3" s="21"/>
      <c r="BM3" s="21"/>
      <c r="BN3" s="21"/>
    </row>
    <row r="4" spans="3:66" ht="12.75">
      <c r="C4" s="136" t="s">
        <v>550</v>
      </c>
      <c r="D4" s="21"/>
      <c r="E4" s="32">
        <f>IF(Dimensions!$G$10=1,0,1)</f>
        <v>0</v>
      </c>
      <c r="F4" s="32">
        <f>IF(Etude!$G$10=4,1,0)</f>
        <v>0</v>
      </c>
      <c r="G4" s="21"/>
      <c r="H4" s="32">
        <f>IF(E4+F4=2,1,0)</f>
        <v>0</v>
      </c>
      <c r="I4" s="21"/>
      <c r="J4" s="32">
        <f>IF(Dimensions!G10=4,1,0)</f>
        <v>0</v>
      </c>
      <c r="L4" s="21" t="s">
        <v>83</v>
      </c>
      <c r="M4" s="21"/>
      <c r="O4" s="21"/>
      <c r="P4" s="21"/>
      <c r="Q4" s="21"/>
      <c r="R4" s="21"/>
      <c r="S4" s="21"/>
      <c r="T4" s="21"/>
      <c r="U4" s="21"/>
      <c r="V4" s="21"/>
      <c r="W4" s="32">
        <f>IF(Dimensions!$M$10=1,0,1)</f>
        <v>0</v>
      </c>
      <c r="X4" s="32">
        <f>IF(Etude!$M$10=4,1,0)</f>
        <v>0</v>
      </c>
      <c r="Y4" s="21"/>
      <c r="Z4" s="32">
        <f>IF(W4+X4=2,1,0)</f>
        <v>0</v>
      </c>
      <c r="AA4" s="21"/>
      <c r="AB4" s="32">
        <f>IF(Dimensions!M10=4,1,0)</f>
        <v>0</v>
      </c>
      <c r="AC4" s="21"/>
      <c r="AD4" s="21" t="s">
        <v>83</v>
      </c>
      <c r="AE4" s="21"/>
      <c r="AG4" s="21"/>
      <c r="AH4" s="21"/>
      <c r="AI4" s="21"/>
      <c r="AJ4" s="21"/>
      <c r="AK4" s="21"/>
      <c r="AL4" s="21"/>
      <c r="AM4" s="21"/>
      <c r="AN4" s="21"/>
      <c r="AO4" s="32">
        <f>IF(Dimensions!$S$10=1,0,1)</f>
        <v>0</v>
      </c>
      <c r="AP4" s="32">
        <f>IF(Etude!$S$10=4,1,0)</f>
        <v>0</v>
      </c>
      <c r="AQ4" s="21"/>
      <c r="AR4" s="32">
        <f>IF(AO4+AP4=2,1,0)</f>
        <v>0</v>
      </c>
      <c r="AS4" s="21"/>
      <c r="AT4" s="32">
        <f>IF(Dimensions!S10=4,1,0)</f>
        <v>0</v>
      </c>
      <c r="AU4" s="21"/>
      <c r="AV4" s="21" t="s">
        <v>83</v>
      </c>
      <c r="AW4" s="21"/>
      <c r="AY4" s="21"/>
      <c r="AZ4" s="21"/>
      <c r="BA4" s="21"/>
      <c r="BB4" s="21"/>
      <c r="BC4" s="21"/>
      <c r="BD4" s="21"/>
      <c r="BE4" s="21"/>
      <c r="BI4" s="21"/>
      <c r="BJ4" s="21"/>
      <c r="BK4" s="21"/>
      <c r="BL4" s="21"/>
      <c r="BM4" s="21"/>
      <c r="BN4" s="21"/>
    </row>
    <row r="5" spans="3:66" ht="12.75">
      <c r="C5" s="1" t="s">
        <v>551</v>
      </c>
      <c r="D5" s="21"/>
      <c r="E5" s="32">
        <f>IF(Dimensions!$G$10=1,0,1)</f>
        <v>0</v>
      </c>
      <c r="F5" s="222">
        <f>IF(Etude!$G$10+J5&gt;2,1,0)</f>
        <v>0</v>
      </c>
      <c r="G5" s="21"/>
      <c r="H5" s="32">
        <f>IF(E5+F5=2,1,0)</f>
        <v>0</v>
      </c>
      <c r="I5" s="21"/>
      <c r="J5" s="34">
        <f>IF((J2+J3+J4)&gt;0,1,0)</f>
        <v>0</v>
      </c>
      <c r="L5" s="21" t="s">
        <v>314</v>
      </c>
      <c r="M5" s="21"/>
      <c r="O5" s="21"/>
      <c r="P5" s="21"/>
      <c r="Q5" s="21"/>
      <c r="R5" s="21"/>
      <c r="S5" s="21"/>
      <c r="T5" s="21"/>
      <c r="U5" s="21"/>
      <c r="V5" s="21"/>
      <c r="W5" s="32">
        <f>IF(Dimensions!$M$10=1,0,1)</f>
        <v>0</v>
      </c>
      <c r="X5" s="222">
        <f>IF(Etude!$M$10+AB5&gt;2,1,0)</f>
        <v>0</v>
      </c>
      <c r="Y5" s="21"/>
      <c r="Z5" s="32">
        <f>IF(W5+X5=2,1,0)</f>
        <v>0</v>
      </c>
      <c r="AA5" s="21"/>
      <c r="AB5" s="34">
        <f>IF((AB2+AB3+AB4)&gt;0,1,0)</f>
        <v>0</v>
      </c>
      <c r="AC5" s="21"/>
      <c r="AD5" s="21" t="s">
        <v>314</v>
      </c>
      <c r="AE5" s="21"/>
      <c r="AG5" s="21"/>
      <c r="AH5" s="21"/>
      <c r="AI5" s="21"/>
      <c r="AJ5" s="21"/>
      <c r="AK5" s="21"/>
      <c r="AL5" s="21"/>
      <c r="AM5" s="21"/>
      <c r="AN5" s="21"/>
      <c r="AO5" s="32">
        <f>IF(Dimensions!$S$10=1,0,1)</f>
        <v>0</v>
      </c>
      <c r="AP5" s="222">
        <f>IF(Etude!$S$10+AT5&gt;2,1,0)</f>
        <v>0</v>
      </c>
      <c r="AQ5" s="21"/>
      <c r="AR5" s="32">
        <f>IF(AO5+AP5=2,1,0)</f>
        <v>0</v>
      </c>
      <c r="AS5" s="21"/>
      <c r="AT5" s="34">
        <f>IF((AT2+AT3+AT4)&gt;0,1,0)</f>
        <v>0</v>
      </c>
      <c r="AU5" s="21"/>
      <c r="AV5" s="21" t="s">
        <v>314</v>
      </c>
      <c r="AW5" s="21"/>
      <c r="AY5" s="21"/>
      <c r="AZ5" s="21"/>
      <c r="BA5" s="21"/>
      <c r="BB5" s="21"/>
      <c r="BC5" s="21"/>
      <c r="BD5" s="21"/>
      <c r="BE5" s="21"/>
      <c r="BI5" s="21"/>
      <c r="BJ5" s="21"/>
      <c r="BK5" s="21"/>
      <c r="BL5" s="21"/>
      <c r="BM5" s="21"/>
      <c r="BN5" s="21"/>
    </row>
    <row r="6" spans="3:66" ht="12.75">
      <c r="C6" t="s">
        <v>101</v>
      </c>
      <c r="D6" s="21"/>
      <c r="E6" s="32">
        <f>IF(Dimensions!$G$10=1,0,1)</f>
        <v>0</v>
      </c>
      <c r="F6" s="32">
        <f>IF(Etude!$J$76=TRUE,1,0)</f>
        <v>0</v>
      </c>
      <c r="G6" s="21"/>
      <c r="H6" s="32">
        <f>IF(E6+F6=2,1,0)</f>
        <v>0</v>
      </c>
      <c r="I6" s="21"/>
      <c r="J6" s="21"/>
      <c r="K6" s="21"/>
      <c r="L6" s="21"/>
      <c r="M6" s="21"/>
      <c r="N6" s="21"/>
      <c r="O6" s="21"/>
      <c r="P6" s="21"/>
      <c r="Q6" s="21"/>
      <c r="R6" s="21"/>
      <c r="S6" s="21"/>
      <c r="T6" s="21"/>
      <c r="U6" s="21"/>
      <c r="V6" s="21"/>
      <c r="W6" s="32">
        <f>IF(Dimensions!$M$10=1,0,1)</f>
        <v>0</v>
      </c>
      <c r="X6" s="32">
        <f>IF(Etude!$M$76=TRUE,1,0)</f>
        <v>0</v>
      </c>
      <c r="Y6" s="21"/>
      <c r="Z6" s="32">
        <f>IF(W6+X6=2,1,0)</f>
        <v>0</v>
      </c>
      <c r="AA6" s="21"/>
      <c r="AB6" s="21"/>
      <c r="AC6" s="21"/>
      <c r="AD6" s="21"/>
      <c r="AE6" s="21"/>
      <c r="AF6" s="21"/>
      <c r="AG6" s="21"/>
      <c r="AH6" s="21"/>
      <c r="AI6" s="21"/>
      <c r="AJ6" s="21"/>
      <c r="AK6" s="21"/>
      <c r="AL6" s="21"/>
      <c r="AM6" s="21"/>
      <c r="AN6" s="21"/>
      <c r="AO6" s="32">
        <f>IF(Dimensions!$S$10=1,0,1)</f>
        <v>0</v>
      </c>
      <c r="AP6" s="32">
        <f>IF(Etude!$O$76=TRUE,1,0)</f>
        <v>0</v>
      </c>
      <c r="AQ6" s="21"/>
      <c r="AR6" s="32">
        <f>IF(AO6+AP6=2,1,0)</f>
        <v>0</v>
      </c>
      <c r="AS6" s="21"/>
      <c r="AT6" s="21"/>
      <c r="AU6" s="21"/>
      <c r="AV6" s="21"/>
      <c r="AW6" s="21"/>
      <c r="AX6" s="21"/>
      <c r="AY6" s="21"/>
      <c r="AZ6" s="21"/>
      <c r="BA6" s="21"/>
      <c r="BB6" s="21"/>
      <c r="BC6" s="21"/>
      <c r="BD6" s="21"/>
      <c r="BE6" s="21"/>
      <c r="BI6" s="21"/>
      <c r="BJ6" s="227" t="s">
        <v>427</v>
      </c>
      <c r="BK6" s="21"/>
      <c r="BL6" s="21"/>
      <c r="BM6" s="21"/>
      <c r="BN6" s="21"/>
    </row>
    <row r="7" spans="3:66" ht="12.75">
      <c r="C7" t="s">
        <v>552</v>
      </c>
      <c r="D7" s="21"/>
      <c r="E7" s="32">
        <f>IF(Dimensions!$G$10=1,0,1)</f>
        <v>0</v>
      </c>
      <c r="F7" s="217">
        <f>Etude!J134</f>
        <v>0</v>
      </c>
      <c r="G7" s="21"/>
      <c r="I7" s="21"/>
      <c r="J7" s="21" t="s">
        <v>81</v>
      </c>
      <c r="K7" s="21"/>
      <c r="L7" s="21"/>
      <c r="M7" s="21"/>
      <c r="N7" s="21"/>
      <c r="O7" s="33">
        <f>IF(AND(H2+H3+H4&gt;0,E9+E10&gt;0),1,0)</f>
        <v>0</v>
      </c>
      <c r="P7" s="21">
        <f>IF(P10=0,0,Q7)</f>
        <v>0</v>
      </c>
      <c r="Q7" s="21">
        <f>IF(O7&gt;0,1,0)</f>
        <v>0</v>
      </c>
      <c r="R7" s="21"/>
      <c r="S7" s="21"/>
      <c r="T7" s="21"/>
      <c r="U7" s="21"/>
      <c r="V7" s="21"/>
      <c r="Y7" s="21"/>
      <c r="AA7" s="21"/>
      <c r="AB7" s="21" t="s">
        <v>81</v>
      </c>
      <c r="AC7" s="21"/>
      <c r="AD7" s="21"/>
      <c r="AE7" s="21"/>
      <c r="AF7" s="21"/>
      <c r="AG7" s="33">
        <f>IF(AND(Z2+Z3+Z4&gt;0,E9+E10&gt;0),1,0)</f>
        <v>0</v>
      </c>
      <c r="AH7" s="21">
        <f>IF(AH10=0,0,AI7)</f>
        <v>0</v>
      </c>
      <c r="AI7" s="21">
        <f>IF(AG7&gt;0,1,0)</f>
        <v>0</v>
      </c>
      <c r="AJ7" s="21"/>
      <c r="AK7" s="21"/>
      <c r="AL7" s="21"/>
      <c r="AM7" s="21"/>
      <c r="AN7" s="21"/>
      <c r="AQ7" s="21"/>
      <c r="AS7" s="21"/>
      <c r="AT7" s="21" t="s">
        <v>81</v>
      </c>
      <c r="AU7" s="21"/>
      <c r="AV7" s="21"/>
      <c r="AW7" s="21"/>
      <c r="AX7" s="21"/>
      <c r="AY7" s="33">
        <f>IF(AND(AR2+AR3+AR4&gt;0,E9+E10&gt;0),1,0)</f>
        <v>0</v>
      </c>
      <c r="AZ7" s="21">
        <f>IF(AZ10=0,0,BA7)</f>
        <v>0</v>
      </c>
      <c r="BA7" s="21">
        <f>IF(AY7&gt;0,1,0)</f>
        <v>0</v>
      </c>
      <c r="BB7" s="21"/>
      <c r="BC7" s="21"/>
      <c r="BD7" s="21"/>
      <c r="BE7" s="21"/>
      <c r="BJ7" s="124">
        <f>P7+AH7+AZ7</f>
        <v>0</v>
      </c>
      <c r="BK7">
        <f>IF(BJ7=1,1,0)</f>
        <v>0</v>
      </c>
      <c r="BL7" s="21"/>
      <c r="BM7" s="21"/>
      <c r="BN7" s="21"/>
    </row>
    <row r="8" spans="4:66" ht="12.75">
      <c r="D8" s="21"/>
      <c r="I8" s="21"/>
      <c r="J8" s="21" t="s">
        <v>78</v>
      </c>
      <c r="K8" s="21"/>
      <c r="L8" s="21"/>
      <c r="M8" s="21"/>
      <c r="N8" s="21"/>
      <c r="O8" s="21"/>
      <c r="P8" s="23">
        <f>IF(F5=1,1,0)</f>
        <v>0</v>
      </c>
      <c r="Q8" s="21"/>
      <c r="R8" s="21" t="s">
        <v>79</v>
      </c>
      <c r="S8" s="21"/>
      <c r="T8" s="21"/>
      <c r="U8" s="21"/>
      <c r="V8" s="21"/>
      <c r="AA8" s="21"/>
      <c r="AB8" s="21" t="s">
        <v>78</v>
      </c>
      <c r="AC8" s="21"/>
      <c r="AD8" s="21"/>
      <c r="AE8" s="21"/>
      <c r="AF8" s="21"/>
      <c r="AG8" s="21"/>
      <c r="AH8" s="23">
        <f>IF(X5=1,1,0)</f>
        <v>0</v>
      </c>
      <c r="AI8" s="21"/>
      <c r="AJ8" s="21" t="s">
        <v>79</v>
      </c>
      <c r="AK8" s="21"/>
      <c r="AL8" s="21"/>
      <c r="AM8" s="21"/>
      <c r="AN8" s="21"/>
      <c r="AS8" s="21"/>
      <c r="AT8" s="21" t="s">
        <v>78</v>
      </c>
      <c r="AU8" s="21"/>
      <c r="AV8" s="21"/>
      <c r="AW8" s="21"/>
      <c r="AX8" s="21"/>
      <c r="AY8" s="21"/>
      <c r="AZ8" s="23">
        <f>IF(AP5=1,1,0)</f>
        <v>0</v>
      </c>
      <c r="BA8" s="21"/>
      <c r="BB8" s="21" t="s">
        <v>79</v>
      </c>
      <c r="BC8" s="21"/>
      <c r="BD8" s="21"/>
      <c r="BE8" s="21"/>
      <c r="BL8" s="21"/>
      <c r="BM8" s="21"/>
      <c r="BN8" s="21"/>
    </row>
    <row r="9" spans="3:66" ht="12.75">
      <c r="C9" t="s">
        <v>0</v>
      </c>
      <c r="D9" s="21"/>
      <c r="E9" s="218">
        <f>IF(Etude!Q27=TRUE,0,1)</f>
        <v>1</v>
      </c>
      <c r="F9" s="394">
        <f>IF(E9=1,33,0)</f>
        <v>33</v>
      </c>
      <c r="G9" s="455">
        <f>IF(Surfaces!A3&gt;1,1.1,1)</f>
        <v>1</v>
      </c>
      <c r="H9" s="455"/>
      <c r="I9" s="21"/>
      <c r="J9" s="21" t="s">
        <v>77</v>
      </c>
      <c r="K9" s="21"/>
      <c r="L9" s="21"/>
      <c r="M9" s="21"/>
      <c r="N9" s="21"/>
      <c r="O9" s="21"/>
      <c r="P9" s="23">
        <f>IF((J3+J4)&gt;0,1,0.4)</f>
        <v>0.4</v>
      </c>
      <c r="Q9" s="21"/>
      <c r="R9" s="21" t="s">
        <v>416</v>
      </c>
      <c r="S9" s="21"/>
      <c r="T9" s="21"/>
      <c r="U9" s="21"/>
      <c r="V9" s="21"/>
      <c r="Y9" s="455">
        <f>IF(Surfaces!A6&gt;1,1.1,1)</f>
        <v>1</v>
      </c>
      <c r="Z9" s="455"/>
      <c r="AA9" s="21"/>
      <c r="AB9" s="21" t="s">
        <v>77</v>
      </c>
      <c r="AC9" s="21"/>
      <c r="AD9" s="21"/>
      <c r="AE9" s="21"/>
      <c r="AF9" s="21"/>
      <c r="AG9" s="21"/>
      <c r="AH9" s="23">
        <f>IF((AB3+AB4)&gt;0,1,0.4)</f>
        <v>0.4</v>
      </c>
      <c r="AI9" s="21"/>
      <c r="AJ9" s="21" t="s">
        <v>416</v>
      </c>
      <c r="AK9" s="21"/>
      <c r="AL9" s="21"/>
      <c r="AM9" s="21"/>
      <c r="AN9" s="21"/>
      <c r="AQ9" s="455">
        <f>IF(Surfaces!A9&gt;1,1.1,1)</f>
        <v>1</v>
      </c>
      <c r="AR9" s="455"/>
      <c r="AS9" s="21"/>
      <c r="AT9" s="21" t="s">
        <v>77</v>
      </c>
      <c r="AU9" s="21"/>
      <c r="AV9" s="21"/>
      <c r="AW9" s="21"/>
      <c r="AX9" s="21"/>
      <c r="AY9" s="21"/>
      <c r="AZ9" s="23">
        <f>IF((AT3+AT4)&gt;0,1,0.4)</f>
        <v>0.4</v>
      </c>
      <c r="BA9" s="21"/>
      <c r="BB9" s="21" t="s">
        <v>416</v>
      </c>
      <c r="BC9" s="21"/>
      <c r="BD9" s="21"/>
      <c r="BE9" s="21"/>
      <c r="BL9" s="21"/>
      <c r="BM9" s="21"/>
      <c r="BN9" s="21"/>
    </row>
    <row r="10" spans="3:67" ht="12.75">
      <c r="C10" t="s">
        <v>1</v>
      </c>
      <c r="D10" s="21"/>
      <c r="E10" s="218">
        <f>IF(Etude!Q64=TRUE,0,1)</f>
        <v>1</v>
      </c>
      <c r="F10" s="394">
        <f>IF(E10=1,27,0)</f>
        <v>27</v>
      </c>
      <c r="G10" s="455">
        <f>IF(Surfaces!A4&gt;1,1.1,1)</f>
        <v>1</v>
      </c>
      <c r="H10" s="455"/>
      <c r="I10" s="21"/>
      <c r="J10" s="21" t="s">
        <v>75</v>
      </c>
      <c r="K10" s="21"/>
      <c r="L10" s="21"/>
      <c r="M10" s="21"/>
      <c r="N10" s="21"/>
      <c r="O10" s="21"/>
      <c r="P10" s="228">
        <f>IF(Etude!G10&gt;1,Surfaces!F77*G9*G10,0)</f>
        <v>0</v>
      </c>
      <c r="Q10" s="21" t="s">
        <v>80</v>
      </c>
      <c r="R10" s="21"/>
      <c r="S10" s="21"/>
      <c r="T10" s="21"/>
      <c r="U10" s="21"/>
      <c r="V10" s="21"/>
      <c r="Y10" s="455">
        <f>IF(Surfaces!A7&gt;1,1.1,1)</f>
        <v>1</v>
      </c>
      <c r="Z10" s="455"/>
      <c r="AA10" s="21"/>
      <c r="AB10" s="21" t="s">
        <v>75</v>
      </c>
      <c r="AC10" s="21"/>
      <c r="AD10" s="21"/>
      <c r="AE10" s="21"/>
      <c r="AF10" s="21"/>
      <c r="AG10" s="21"/>
      <c r="AH10" s="228">
        <f>IF(Etude!M10&gt;1,Surfaces!M77*Y9*Y10,0)</f>
        <v>0</v>
      </c>
      <c r="AI10" s="21" t="s">
        <v>80</v>
      </c>
      <c r="AJ10" s="21"/>
      <c r="AK10" s="21"/>
      <c r="AL10" s="21"/>
      <c r="AM10" s="21"/>
      <c r="AN10" s="21"/>
      <c r="AQ10" s="455">
        <f>IF(Surfaces!A10&gt;1,1.1,1)</f>
        <v>1</v>
      </c>
      <c r="AR10" s="455"/>
      <c r="AS10" s="21"/>
      <c r="AT10" s="21" t="s">
        <v>75</v>
      </c>
      <c r="AU10" s="21"/>
      <c r="AV10" s="21"/>
      <c r="AW10" s="21"/>
      <c r="AX10" s="21"/>
      <c r="AY10" s="21"/>
      <c r="AZ10" s="228">
        <f>IF(Etude!S10&gt;1,Surfaces!T77*AQ9*AQ10,0)</f>
        <v>0</v>
      </c>
      <c r="BA10" s="21" t="s">
        <v>80</v>
      </c>
      <c r="BB10" s="21"/>
      <c r="BC10" s="21"/>
      <c r="BD10" s="21"/>
      <c r="BE10" s="21"/>
      <c r="BJ10" s="21"/>
      <c r="BK10" s="21"/>
      <c r="BM10" s="141" t="s">
        <v>315</v>
      </c>
      <c r="BN10" s="228">
        <f>P10+AH10+AZ10</f>
        <v>0</v>
      </c>
      <c r="BO10" s="21" t="s">
        <v>80</v>
      </c>
    </row>
    <row r="11" spans="4:66" ht="12.75">
      <c r="D11" s="21"/>
      <c r="E11" s="21"/>
      <c r="F11" s="395">
        <f>F9+F10</f>
        <v>60</v>
      </c>
      <c r="G11" s="21"/>
      <c r="H11" s="245">
        <v>2</v>
      </c>
      <c r="I11" s="245">
        <v>3</v>
      </c>
      <c r="J11" s="245">
        <v>4</v>
      </c>
      <c r="K11" s="245">
        <v>5</v>
      </c>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row>
    <row r="12" spans="4:68" ht="12.75">
      <c r="D12" s="21"/>
      <c r="E12" s="21"/>
      <c r="F12" s="219"/>
      <c r="H12" s="220" t="s">
        <v>538</v>
      </c>
      <c r="I12" s="221" t="s">
        <v>537</v>
      </c>
      <c r="J12" s="223" t="s">
        <v>536</v>
      </c>
      <c r="K12" s="219" t="s">
        <v>64</v>
      </c>
      <c r="M12" s="21"/>
      <c r="N12" s="45" t="s">
        <v>60</v>
      </c>
      <c r="O12" s="47" t="s">
        <v>66</v>
      </c>
      <c r="P12" s="46" t="s">
        <v>76</v>
      </c>
      <c r="Q12" s="34" t="s">
        <v>68</v>
      </c>
      <c r="R12" s="35" t="s">
        <v>67</v>
      </c>
      <c r="S12" s="35" t="s">
        <v>4</v>
      </c>
      <c r="T12" s="35" t="s">
        <v>5</v>
      </c>
      <c r="U12" s="21"/>
      <c r="V12" s="21"/>
      <c r="W12" s="21"/>
      <c r="Z12" s="220" t="s">
        <v>538</v>
      </c>
      <c r="AA12" s="221" t="s">
        <v>537</v>
      </c>
      <c r="AB12" s="223" t="s">
        <v>536</v>
      </c>
      <c r="AC12" s="219" t="s">
        <v>64</v>
      </c>
      <c r="AE12" s="21"/>
      <c r="AF12" s="45" t="s">
        <v>60</v>
      </c>
      <c r="AG12" s="47" t="s">
        <v>66</v>
      </c>
      <c r="AH12" s="46" t="s">
        <v>76</v>
      </c>
      <c r="AI12" s="34" t="s">
        <v>68</v>
      </c>
      <c r="AJ12" s="35" t="s">
        <v>67</v>
      </c>
      <c r="AK12" s="35" t="s">
        <v>4</v>
      </c>
      <c r="AL12" s="35" t="s">
        <v>5</v>
      </c>
      <c r="AM12" s="21"/>
      <c r="AN12" s="21"/>
      <c r="AO12" s="21"/>
      <c r="AR12" s="220" t="s">
        <v>538</v>
      </c>
      <c r="AS12" s="221" t="s">
        <v>537</v>
      </c>
      <c r="AT12" s="223" t="s">
        <v>536</v>
      </c>
      <c r="AU12" s="219" t="s">
        <v>64</v>
      </c>
      <c r="AW12" s="21"/>
      <c r="AX12" s="240" t="s">
        <v>60</v>
      </c>
      <c r="AY12" s="241" t="s">
        <v>66</v>
      </c>
      <c r="AZ12" s="46" t="s">
        <v>76</v>
      </c>
      <c r="BA12" s="34" t="s">
        <v>68</v>
      </c>
      <c r="BB12" s="35" t="s">
        <v>67</v>
      </c>
      <c r="BC12" s="35" t="s">
        <v>4</v>
      </c>
      <c r="BD12" s="35" t="s">
        <v>5</v>
      </c>
      <c r="BE12" s="21"/>
      <c r="BM12" s="21"/>
      <c r="BN12" s="21" t="s">
        <v>426</v>
      </c>
      <c r="BO12" s="85" t="s">
        <v>425</v>
      </c>
      <c r="BP12" s="65" t="s">
        <v>262</v>
      </c>
    </row>
    <row r="13" spans="3:68" ht="12.75">
      <c r="C13" s="29" t="s">
        <v>447</v>
      </c>
      <c r="D13" s="21"/>
      <c r="E13" s="21"/>
      <c r="F13" s="219"/>
      <c r="H13" s="220"/>
      <c r="I13" s="221"/>
      <c r="J13" s="223"/>
      <c r="K13" s="219"/>
      <c r="M13" s="21"/>
      <c r="N13" s="45"/>
      <c r="O13" s="21"/>
      <c r="P13" s="397"/>
      <c r="Q13" s="21"/>
      <c r="R13" s="23"/>
      <c r="S13" s="23"/>
      <c r="T13" s="23"/>
      <c r="U13" s="21"/>
      <c r="V13" s="21"/>
      <c r="W13" s="21"/>
      <c r="Z13" s="220"/>
      <c r="AA13" s="221"/>
      <c r="AB13" s="223"/>
      <c r="AC13" s="219"/>
      <c r="AE13" s="21"/>
      <c r="AF13" s="45"/>
      <c r="AG13" s="21"/>
      <c r="AH13" s="397"/>
      <c r="AI13" s="21"/>
      <c r="AJ13" s="23"/>
      <c r="AK13" s="23"/>
      <c r="AL13" s="23"/>
      <c r="AM13" s="21"/>
      <c r="AN13" s="21"/>
      <c r="AO13" s="21"/>
      <c r="AR13" s="220"/>
      <c r="AS13" s="221"/>
      <c r="AT13" s="223"/>
      <c r="AU13" s="219"/>
      <c r="AW13" s="21"/>
      <c r="AX13" s="240"/>
      <c r="AY13" s="227"/>
      <c r="AZ13" s="397"/>
      <c r="BA13" s="21"/>
      <c r="BB13" s="23"/>
      <c r="BC13" s="23"/>
      <c r="BD13" s="23"/>
      <c r="BE13" s="21"/>
      <c r="BM13" s="21"/>
      <c r="BN13" s="21"/>
      <c r="BO13" s="85"/>
      <c r="BP13" s="65"/>
    </row>
    <row r="14" spans="1:68" ht="12.75">
      <c r="A14">
        <v>1</v>
      </c>
      <c r="C14" t="s">
        <v>540</v>
      </c>
      <c r="D14" s="21"/>
      <c r="E14" s="21"/>
      <c r="F14" s="219"/>
      <c r="H14" s="138">
        <f aca="true" t="shared" si="0" ref="H14:H19">IF(H$2+$E$9&gt;1,1,0)</f>
        <v>0</v>
      </c>
      <c r="I14" s="139">
        <f aca="true" t="shared" si="1" ref="I14:I23">IF(H$3+$E$9&gt;1,1,0)</f>
        <v>0</v>
      </c>
      <c r="J14" s="226">
        <f aca="true" t="shared" si="2" ref="J14:J24">IF(H$4+$E$9&gt;1,1,0)</f>
        <v>0</v>
      </c>
      <c r="K14" s="219"/>
      <c r="M14" s="21"/>
      <c r="N14" s="21">
        <f aca="true" t="shared" si="3" ref="N14:N19">SUM(F14:L14)</f>
        <v>0</v>
      </c>
      <c r="O14" s="21">
        <f aca="true" t="shared" si="4" ref="O14:O24">IF(AND(P$10&gt;0,$N14&gt;0),1,0)</f>
        <v>0</v>
      </c>
      <c r="P14" s="36">
        <f aca="true" t="shared" si="5" ref="P14:P24">Q14*O14</f>
        <v>0</v>
      </c>
      <c r="Q14" s="21">
        <v>60</v>
      </c>
      <c r="R14" s="24">
        <f aca="true" t="shared" si="6" ref="R14:R24">P14/50</f>
        <v>0</v>
      </c>
      <c r="S14" s="21">
        <f aca="true" t="shared" si="7" ref="S14:S24">O14*1</f>
        <v>0</v>
      </c>
      <c r="T14" s="23"/>
      <c r="U14" s="21"/>
      <c r="V14" s="21"/>
      <c r="W14" s="21"/>
      <c r="Z14" s="138">
        <f aca="true" t="shared" si="8" ref="Z14:Z19">IF(Z$2+$E$9&gt;1,1,0)</f>
        <v>0</v>
      </c>
      <c r="AA14" s="139">
        <f aca="true" t="shared" si="9" ref="AA14:AA23">IF(Z$3+$E$9&gt;1,1,0)</f>
        <v>0</v>
      </c>
      <c r="AB14" s="226">
        <f aca="true" t="shared" si="10" ref="AB14:AB19">IF(Z$4+$E$9&gt;1,1,0)</f>
        <v>0</v>
      </c>
      <c r="AC14" s="219"/>
      <c r="AE14" s="21"/>
      <c r="AF14" s="21">
        <f aca="true" t="shared" si="11" ref="AF14:AF19">SUM(X14:AD14)</f>
        <v>0</v>
      </c>
      <c r="AG14" s="21">
        <f>IF(AND(AH$10&gt;0,$N14&gt;0),1,0)</f>
        <v>0</v>
      </c>
      <c r="AH14" s="36">
        <f aca="true" t="shared" si="12" ref="AH14:AH24">AI14*AG14</f>
        <v>0</v>
      </c>
      <c r="AI14" s="21">
        <v>60</v>
      </c>
      <c r="AJ14" s="24">
        <f aca="true" t="shared" si="13" ref="AJ14:AJ24">AH14/50</f>
        <v>0</v>
      </c>
      <c r="AK14" s="21">
        <f aca="true" t="shared" si="14" ref="AK14:AK24">AG14*1</f>
        <v>0</v>
      </c>
      <c r="AL14" s="23"/>
      <c r="AM14" s="21"/>
      <c r="AN14" s="21"/>
      <c r="AO14" s="21"/>
      <c r="AR14" s="138">
        <f aca="true" t="shared" si="15" ref="AR14:AR19">IF(AR$2+$E$9&gt;1,1,0)</f>
        <v>0</v>
      </c>
      <c r="AS14" s="139">
        <f aca="true" t="shared" si="16" ref="AS14:AS23">IF(AR$3+$E$9&gt;1,1,0)</f>
        <v>0</v>
      </c>
      <c r="AT14" s="226">
        <f aca="true" t="shared" si="17" ref="AT14:AT19">IF(AR$4+$E$9&gt;1,1,0)</f>
        <v>0</v>
      </c>
      <c r="AU14" s="219"/>
      <c r="AW14" s="21"/>
      <c r="AX14" s="21">
        <f aca="true" t="shared" si="18" ref="AX14:AX19">SUM(AP14:AV14)</f>
        <v>0</v>
      </c>
      <c r="AY14" s="21">
        <f>IF(AND(AZ$10&gt;0,$N14&gt;0),1,0)</f>
        <v>0</v>
      </c>
      <c r="AZ14" s="36">
        <f aca="true" t="shared" si="19" ref="AZ14:AZ24">BA14*AY14</f>
        <v>0</v>
      </c>
      <c r="BA14" s="21">
        <v>60</v>
      </c>
      <c r="BB14" s="24">
        <f aca="true" t="shared" si="20" ref="BB14:BB24">AZ14/50</f>
        <v>0</v>
      </c>
      <c r="BC14" s="21">
        <f aca="true" t="shared" si="21" ref="BC14:BC24">AY14*1</f>
        <v>0</v>
      </c>
      <c r="BD14" s="23"/>
      <c r="BE14" s="21"/>
      <c r="BM14" s="21"/>
      <c r="BN14" s="24">
        <f aca="true" t="shared" si="22" ref="BN14:BN24">R14+AJ14+BB14</f>
        <v>0</v>
      </c>
      <c r="BO14">
        <f aca="true" t="shared" si="23" ref="BO14:BO24">O14+AG14+AY14</f>
        <v>0</v>
      </c>
      <c r="BP14" s="49">
        <f aca="true" t="shared" si="24" ref="BP14:BP24">P14+AH14+AZ14</f>
        <v>0</v>
      </c>
    </row>
    <row r="15" spans="1:68" ht="12.75">
      <c r="A15">
        <v>2</v>
      </c>
      <c r="C15" t="s">
        <v>541</v>
      </c>
      <c r="D15" s="21"/>
      <c r="E15" s="21"/>
      <c r="F15" s="219"/>
      <c r="H15" s="138">
        <f t="shared" si="0"/>
        <v>0</v>
      </c>
      <c r="I15" s="139">
        <f t="shared" si="1"/>
        <v>0</v>
      </c>
      <c r="J15" s="226">
        <f t="shared" si="2"/>
        <v>0</v>
      </c>
      <c r="K15" s="219"/>
      <c r="M15" s="21"/>
      <c r="N15" s="21">
        <f t="shared" si="3"/>
        <v>0</v>
      </c>
      <c r="O15" s="21">
        <f t="shared" si="4"/>
        <v>0</v>
      </c>
      <c r="P15" s="36">
        <f t="shared" si="5"/>
        <v>0</v>
      </c>
      <c r="Q15" s="21">
        <v>30</v>
      </c>
      <c r="R15" s="24">
        <f t="shared" si="6"/>
        <v>0</v>
      </c>
      <c r="S15" s="21">
        <f t="shared" si="7"/>
        <v>0</v>
      </c>
      <c r="T15" s="23"/>
      <c r="U15" s="21"/>
      <c r="V15" s="21"/>
      <c r="W15" s="21"/>
      <c r="Z15" s="138">
        <f t="shared" si="8"/>
        <v>0</v>
      </c>
      <c r="AA15" s="139">
        <f t="shared" si="9"/>
        <v>0</v>
      </c>
      <c r="AB15" s="226">
        <f t="shared" si="10"/>
        <v>0</v>
      </c>
      <c r="AC15" s="219"/>
      <c r="AE15" s="21"/>
      <c r="AF15" s="21">
        <f t="shared" si="11"/>
        <v>0</v>
      </c>
      <c r="AG15" s="21">
        <f aca="true" t="shared" si="25" ref="AG15:AG24">IF(AND(AH$10&gt;0,$N15&gt;0),1,0)</f>
        <v>0</v>
      </c>
      <c r="AH15" s="36">
        <f t="shared" si="12"/>
        <v>0</v>
      </c>
      <c r="AI15" s="21">
        <v>30</v>
      </c>
      <c r="AJ15" s="24">
        <f t="shared" si="13"/>
        <v>0</v>
      </c>
      <c r="AK15" s="21">
        <f t="shared" si="14"/>
        <v>0</v>
      </c>
      <c r="AL15" s="23"/>
      <c r="AM15" s="21"/>
      <c r="AN15" s="21"/>
      <c r="AO15" s="21"/>
      <c r="AR15" s="138">
        <f t="shared" si="15"/>
        <v>0</v>
      </c>
      <c r="AS15" s="139">
        <f t="shared" si="16"/>
        <v>0</v>
      </c>
      <c r="AT15" s="226">
        <f t="shared" si="17"/>
        <v>0</v>
      </c>
      <c r="AU15" s="219"/>
      <c r="AW15" s="21"/>
      <c r="AX15" s="21">
        <f t="shared" si="18"/>
        <v>0</v>
      </c>
      <c r="AY15" s="21">
        <f aca="true" t="shared" si="26" ref="AY15:AY24">IF(AND(AZ$10&gt;0,$N15&gt;0),1,0)</f>
        <v>0</v>
      </c>
      <c r="AZ15" s="36">
        <f t="shared" si="19"/>
        <v>0</v>
      </c>
      <c r="BA15" s="21">
        <v>30</v>
      </c>
      <c r="BB15" s="24">
        <f t="shared" si="20"/>
        <v>0</v>
      </c>
      <c r="BC15" s="21">
        <f t="shared" si="21"/>
        <v>0</v>
      </c>
      <c r="BD15" s="23"/>
      <c r="BE15" s="21"/>
      <c r="BM15" s="21"/>
      <c r="BN15" s="24">
        <f t="shared" si="22"/>
        <v>0</v>
      </c>
      <c r="BO15">
        <f t="shared" si="23"/>
        <v>0</v>
      </c>
      <c r="BP15" s="49">
        <f t="shared" si="24"/>
        <v>0</v>
      </c>
    </row>
    <row r="16" spans="1:68" ht="12.75">
      <c r="A16">
        <v>3</v>
      </c>
      <c r="C16" t="s">
        <v>542</v>
      </c>
      <c r="D16" s="21"/>
      <c r="E16" s="21"/>
      <c r="F16" s="219"/>
      <c r="H16" s="138">
        <f t="shared" si="0"/>
        <v>0</v>
      </c>
      <c r="I16" s="139">
        <f t="shared" si="1"/>
        <v>0</v>
      </c>
      <c r="J16" s="226">
        <f t="shared" si="2"/>
        <v>0</v>
      </c>
      <c r="K16" s="219"/>
      <c r="M16" s="21"/>
      <c r="N16" s="21">
        <f t="shared" si="3"/>
        <v>0</v>
      </c>
      <c r="O16" s="21">
        <f t="shared" si="4"/>
        <v>0</v>
      </c>
      <c r="P16" s="36">
        <f t="shared" si="5"/>
        <v>0</v>
      </c>
      <c r="Q16" s="21">
        <v>120</v>
      </c>
      <c r="R16" s="24">
        <f t="shared" si="6"/>
        <v>0</v>
      </c>
      <c r="S16" s="21">
        <f t="shared" si="7"/>
        <v>0</v>
      </c>
      <c r="T16" s="23"/>
      <c r="U16" s="21"/>
      <c r="V16" s="21"/>
      <c r="W16" s="21"/>
      <c r="Z16" s="138">
        <f t="shared" si="8"/>
        <v>0</v>
      </c>
      <c r="AA16" s="139">
        <f t="shared" si="9"/>
        <v>0</v>
      </c>
      <c r="AB16" s="226">
        <f t="shared" si="10"/>
        <v>0</v>
      </c>
      <c r="AC16" s="219"/>
      <c r="AE16" s="21"/>
      <c r="AF16" s="21">
        <f t="shared" si="11"/>
        <v>0</v>
      </c>
      <c r="AG16" s="21">
        <f t="shared" si="25"/>
        <v>0</v>
      </c>
      <c r="AH16" s="36">
        <f t="shared" si="12"/>
        <v>0</v>
      </c>
      <c r="AI16" s="21">
        <v>120</v>
      </c>
      <c r="AJ16" s="24">
        <f t="shared" si="13"/>
        <v>0</v>
      </c>
      <c r="AK16" s="21">
        <f t="shared" si="14"/>
        <v>0</v>
      </c>
      <c r="AL16" s="23"/>
      <c r="AM16" s="21"/>
      <c r="AN16" s="21"/>
      <c r="AO16" s="21"/>
      <c r="AR16" s="138">
        <f t="shared" si="15"/>
        <v>0</v>
      </c>
      <c r="AS16" s="139">
        <f t="shared" si="16"/>
        <v>0</v>
      </c>
      <c r="AT16" s="226">
        <f t="shared" si="17"/>
        <v>0</v>
      </c>
      <c r="AU16" s="219"/>
      <c r="AW16" s="21"/>
      <c r="AX16" s="21">
        <f t="shared" si="18"/>
        <v>0</v>
      </c>
      <c r="AY16" s="21">
        <f t="shared" si="26"/>
        <v>0</v>
      </c>
      <c r="AZ16" s="36">
        <f t="shared" si="19"/>
        <v>0</v>
      </c>
      <c r="BA16" s="21">
        <v>120</v>
      </c>
      <c r="BB16" s="24">
        <f t="shared" si="20"/>
        <v>0</v>
      </c>
      <c r="BC16" s="21">
        <f t="shared" si="21"/>
        <v>0</v>
      </c>
      <c r="BD16" s="23"/>
      <c r="BE16" s="21"/>
      <c r="BM16" s="21"/>
      <c r="BN16" s="24">
        <f t="shared" si="22"/>
        <v>0</v>
      </c>
      <c r="BO16">
        <f t="shared" si="23"/>
        <v>0</v>
      </c>
      <c r="BP16" s="49">
        <f t="shared" si="24"/>
        <v>0</v>
      </c>
    </row>
    <row r="17" spans="1:68" ht="12.75">
      <c r="A17">
        <v>4</v>
      </c>
      <c r="C17" t="s">
        <v>49</v>
      </c>
      <c r="D17" s="21"/>
      <c r="E17" s="21"/>
      <c r="F17" s="219"/>
      <c r="H17" s="138">
        <f t="shared" si="0"/>
        <v>0</v>
      </c>
      <c r="I17" s="139">
        <f t="shared" si="1"/>
        <v>0</v>
      </c>
      <c r="J17" s="226">
        <f t="shared" si="2"/>
        <v>0</v>
      </c>
      <c r="K17" s="219"/>
      <c r="M17" s="21"/>
      <c r="N17" s="21">
        <f t="shared" si="3"/>
        <v>0</v>
      </c>
      <c r="O17" s="21">
        <f t="shared" si="4"/>
        <v>0</v>
      </c>
      <c r="P17" s="36">
        <f t="shared" si="5"/>
        <v>0</v>
      </c>
      <c r="Q17" s="21">
        <v>30</v>
      </c>
      <c r="R17" s="24">
        <f t="shared" si="6"/>
        <v>0</v>
      </c>
      <c r="S17" s="21">
        <f t="shared" si="7"/>
        <v>0</v>
      </c>
      <c r="T17" s="23">
        <v>1</v>
      </c>
      <c r="U17" s="21"/>
      <c r="V17" s="21"/>
      <c r="W17" s="21"/>
      <c r="Z17" s="138">
        <f t="shared" si="8"/>
        <v>0</v>
      </c>
      <c r="AA17" s="139">
        <f t="shared" si="9"/>
        <v>0</v>
      </c>
      <c r="AB17" s="226">
        <f t="shared" si="10"/>
        <v>0</v>
      </c>
      <c r="AC17" s="219"/>
      <c r="AE17" s="21"/>
      <c r="AF17" s="21">
        <f t="shared" si="11"/>
        <v>0</v>
      </c>
      <c r="AG17" s="21">
        <f t="shared" si="25"/>
        <v>0</v>
      </c>
      <c r="AH17" s="36">
        <f t="shared" si="12"/>
        <v>0</v>
      </c>
      <c r="AI17" s="21">
        <v>30</v>
      </c>
      <c r="AJ17" s="24">
        <f t="shared" si="13"/>
        <v>0</v>
      </c>
      <c r="AK17" s="21">
        <f t="shared" si="14"/>
        <v>0</v>
      </c>
      <c r="AL17" s="23">
        <v>1</v>
      </c>
      <c r="AM17" s="21"/>
      <c r="AN17" s="21"/>
      <c r="AO17" s="21"/>
      <c r="AR17" s="138">
        <f t="shared" si="15"/>
        <v>0</v>
      </c>
      <c r="AS17" s="139">
        <f t="shared" si="16"/>
        <v>0</v>
      </c>
      <c r="AT17" s="226">
        <f t="shared" si="17"/>
        <v>0</v>
      </c>
      <c r="AU17" s="219"/>
      <c r="AW17" s="21"/>
      <c r="AX17" s="21">
        <f t="shared" si="18"/>
        <v>0</v>
      </c>
      <c r="AY17" s="21">
        <f t="shared" si="26"/>
        <v>0</v>
      </c>
      <c r="AZ17" s="36">
        <f t="shared" si="19"/>
        <v>0</v>
      </c>
      <c r="BA17" s="21">
        <v>30</v>
      </c>
      <c r="BB17" s="24">
        <f t="shared" si="20"/>
        <v>0</v>
      </c>
      <c r="BC17" s="21">
        <f t="shared" si="21"/>
        <v>0</v>
      </c>
      <c r="BD17" s="23">
        <v>1</v>
      </c>
      <c r="BE17" s="21"/>
      <c r="BM17" s="21"/>
      <c r="BN17" s="24">
        <f t="shared" si="22"/>
        <v>0</v>
      </c>
      <c r="BO17">
        <f t="shared" si="23"/>
        <v>0</v>
      </c>
      <c r="BP17" s="49">
        <f t="shared" si="24"/>
        <v>0</v>
      </c>
    </row>
    <row r="18" spans="1:68" ht="12.75">
      <c r="A18">
        <v>5</v>
      </c>
      <c r="C18" t="s">
        <v>543</v>
      </c>
      <c r="D18" s="21"/>
      <c r="E18" s="21"/>
      <c r="F18" s="219"/>
      <c r="H18" s="138">
        <f t="shared" si="0"/>
        <v>0</v>
      </c>
      <c r="I18" s="139">
        <f t="shared" si="1"/>
        <v>0</v>
      </c>
      <c r="J18" s="226">
        <f t="shared" si="2"/>
        <v>0</v>
      </c>
      <c r="K18" s="219"/>
      <c r="M18" s="21"/>
      <c r="N18" s="21">
        <f t="shared" si="3"/>
        <v>0</v>
      </c>
      <c r="O18" s="21">
        <f t="shared" si="4"/>
        <v>0</v>
      </c>
      <c r="P18" s="36">
        <f t="shared" si="5"/>
        <v>0</v>
      </c>
      <c r="Q18" s="21">
        <v>30</v>
      </c>
      <c r="R18" s="24">
        <f t="shared" si="6"/>
        <v>0</v>
      </c>
      <c r="S18" s="21">
        <f t="shared" si="7"/>
        <v>0</v>
      </c>
      <c r="T18" s="23">
        <v>4</v>
      </c>
      <c r="U18" s="21"/>
      <c r="V18" s="21"/>
      <c r="W18" s="21"/>
      <c r="Z18" s="138">
        <f t="shared" si="8"/>
        <v>0</v>
      </c>
      <c r="AA18" s="139">
        <f t="shared" si="9"/>
        <v>0</v>
      </c>
      <c r="AB18" s="226">
        <f t="shared" si="10"/>
        <v>0</v>
      </c>
      <c r="AC18" s="219"/>
      <c r="AE18" s="21"/>
      <c r="AF18" s="21">
        <f t="shared" si="11"/>
        <v>0</v>
      </c>
      <c r="AG18" s="21">
        <f t="shared" si="25"/>
        <v>0</v>
      </c>
      <c r="AH18" s="36">
        <f t="shared" si="12"/>
        <v>0</v>
      </c>
      <c r="AI18" s="21">
        <v>30</v>
      </c>
      <c r="AJ18" s="24">
        <f t="shared" si="13"/>
        <v>0</v>
      </c>
      <c r="AK18" s="21">
        <f t="shared" si="14"/>
        <v>0</v>
      </c>
      <c r="AL18" s="23">
        <v>4</v>
      </c>
      <c r="AM18" s="21"/>
      <c r="AN18" s="21"/>
      <c r="AO18" s="21"/>
      <c r="AR18" s="138">
        <f t="shared" si="15"/>
        <v>0</v>
      </c>
      <c r="AS18" s="139">
        <f t="shared" si="16"/>
        <v>0</v>
      </c>
      <c r="AT18" s="226">
        <f t="shared" si="17"/>
        <v>0</v>
      </c>
      <c r="AU18" s="219"/>
      <c r="AW18" s="21"/>
      <c r="AX18" s="21">
        <f t="shared" si="18"/>
        <v>0</v>
      </c>
      <c r="AY18" s="21">
        <f t="shared" si="26"/>
        <v>0</v>
      </c>
      <c r="AZ18" s="36">
        <f t="shared" si="19"/>
        <v>0</v>
      </c>
      <c r="BA18" s="21">
        <v>30</v>
      </c>
      <c r="BB18" s="24">
        <f t="shared" si="20"/>
        <v>0</v>
      </c>
      <c r="BC18" s="21">
        <f t="shared" si="21"/>
        <v>0</v>
      </c>
      <c r="BD18" s="23">
        <v>4</v>
      </c>
      <c r="BE18" s="21"/>
      <c r="BM18" s="21"/>
      <c r="BN18" s="24">
        <f t="shared" si="22"/>
        <v>0</v>
      </c>
      <c r="BO18">
        <f t="shared" si="23"/>
        <v>0</v>
      </c>
      <c r="BP18" s="49">
        <f t="shared" si="24"/>
        <v>0</v>
      </c>
    </row>
    <row r="19" spans="1:68" ht="12.75">
      <c r="A19">
        <v>6</v>
      </c>
      <c r="C19" t="s">
        <v>52</v>
      </c>
      <c r="D19" s="21"/>
      <c r="E19" s="21"/>
      <c r="F19" s="219"/>
      <c r="H19" s="138">
        <f t="shared" si="0"/>
        <v>0</v>
      </c>
      <c r="I19" s="139">
        <f t="shared" si="1"/>
        <v>0</v>
      </c>
      <c r="J19" s="226">
        <f t="shared" si="2"/>
        <v>0</v>
      </c>
      <c r="K19" s="219"/>
      <c r="M19" s="21"/>
      <c r="N19" s="21">
        <f t="shared" si="3"/>
        <v>0</v>
      </c>
      <c r="O19" s="21">
        <f t="shared" si="4"/>
        <v>0</v>
      </c>
      <c r="P19" s="36">
        <f t="shared" si="5"/>
        <v>0</v>
      </c>
      <c r="Q19" s="21">
        <v>30</v>
      </c>
      <c r="R19" s="24">
        <f t="shared" si="6"/>
        <v>0</v>
      </c>
      <c r="S19" s="21">
        <f t="shared" si="7"/>
        <v>0</v>
      </c>
      <c r="T19" s="23">
        <v>1</v>
      </c>
      <c r="U19" s="21"/>
      <c r="V19" s="21"/>
      <c r="W19" s="21"/>
      <c r="Z19" s="138">
        <f t="shared" si="8"/>
        <v>0</v>
      </c>
      <c r="AA19" s="139">
        <f t="shared" si="9"/>
        <v>0</v>
      </c>
      <c r="AB19" s="226">
        <f t="shared" si="10"/>
        <v>0</v>
      </c>
      <c r="AC19" s="219"/>
      <c r="AE19" s="21"/>
      <c r="AF19" s="21">
        <f t="shared" si="11"/>
        <v>0</v>
      </c>
      <c r="AG19" s="21">
        <f t="shared" si="25"/>
        <v>0</v>
      </c>
      <c r="AH19" s="36">
        <f t="shared" si="12"/>
        <v>0</v>
      </c>
      <c r="AI19" s="21">
        <v>30</v>
      </c>
      <c r="AJ19" s="24">
        <f t="shared" si="13"/>
        <v>0</v>
      </c>
      <c r="AK19" s="21">
        <f t="shared" si="14"/>
        <v>0</v>
      </c>
      <c r="AL19" s="23">
        <v>1</v>
      </c>
      <c r="AM19" s="21"/>
      <c r="AN19" s="21"/>
      <c r="AO19" s="21"/>
      <c r="AR19" s="138">
        <f t="shared" si="15"/>
        <v>0</v>
      </c>
      <c r="AS19" s="139">
        <f t="shared" si="16"/>
        <v>0</v>
      </c>
      <c r="AT19" s="226">
        <f t="shared" si="17"/>
        <v>0</v>
      </c>
      <c r="AU19" s="219"/>
      <c r="AW19" s="21"/>
      <c r="AX19" s="21">
        <f t="shared" si="18"/>
        <v>0</v>
      </c>
      <c r="AY19" s="21">
        <f t="shared" si="26"/>
        <v>0</v>
      </c>
      <c r="AZ19" s="36">
        <f t="shared" si="19"/>
        <v>0</v>
      </c>
      <c r="BA19" s="21">
        <v>30</v>
      </c>
      <c r="BB19" s="24">
        <f t="shared" si="20"/>
        <v>0</v>
      </c>
      <c r="BC19" s="21">
        <f t="shared" si="21"/>
        <v>0</v>
      </c>
      <c r="BD19" s="23">
        <v>1</v>
      </c>
      <c r="BE19" s="21"/>
      <c r="BM19" s="21"/>
      <c r="BN19" s="24">
        <f t="shared" si="22"/>
        <v>0</v>
      </c>
      <c r="BO19">
        <f t="shared" si="23"/>
        <v>0</v>
      </c>
      <c r="BP19" s="49">
        <f t="shared" si="24"/>
        <v>0</v>
      </c>
    </row>
    <row r="20" spans="1:68" ht="12.75">
      <c r="A20">
        <v>7</v>
      </c>
      <c r="C20" t="s">
        <v>544</v>
      </c>
      <c r="D20" s="21"/>
      <c r="E20" s="21"/>
      <c r="F20" s="219"/>
      <c r="H20" s="220"/>
      <c r="I20" s="139">
        <f t="shared" si="1"/>
        <v>0</v>
      </c>
      <c r="J20" s="226">
        <f t="shared" si="2"/>
        <v>0</v>
      </c>
      <c r="K20" s="219"/>
      <c r="M20" s="21"/>
      <c r="N20" s="21">
        <f>SUM(F20:L20)</f>
        <v>0</v>
      </c>
      <c r="O20" s="21">
        <f t="shared" si="4"/>
        <v>0</v>
      </c>
      <c r="P20" s="403">
        <f t="shared" si="5"/>
        <v>0</v>
      </c>
      <c r="Q20" s="21">
        <v>280</v>
      </c>
      <c r="R20" s="24">
        <f t="shared" si="6"/>
        <v>0</v>
      </c>
      <c r="S20" s="21">
        <f t="shared" si="7"/>
        <v>0</v>
      </c>
      <c r="T20" s="23"/>
      <c r="U20" s="21"/>
      <c r="V20" s="21"/>
      <c r="W20" s="21"/>
      <c r="Z20" s="220"/>
      <c r="AA20" s="139">
        <f t="shared" si="9"/>
        <v>0</v>
      </c>
      <c r="AB20" s="226">
        <f>IF(Z$4+$E$9&gt;1,1,0)</f>
        <v>0</v>
      </c>
      <c r="AC20" s="219"/>
      <c r="AE20" s="21"/>
      <c r="AF20" s="21">
        <f>SUM(X20:AD20)</f>
        <v>0</v>
      </c>
      <c r="AG20" s="21">
        <f t="shared" si="25"/>
        <v>0</v>
      </c>
      <c r="AH20" s="403">
        <f t="shared" si="12"/>
        <v>0</v>
      </c>
      <c r="AI20" s="21">
        <v>280</v>
      </c>
      <c r="AJ20" s="24">
        <f t="shared" si="13"/>
        <v>0</v>
      </c>
      <c r="AK20" s="21">
        <f t="shared" si="14"/>
        <v>0</v>
      </c>
      <c r="AL20" s="23"/>
      <c r="AM20" s="21"/>
      <c r="AN20" s="21"/>
      <c r="AO20" s="21"/>
      <c r="AR20" s="220"/>
      <c r="AS20" s="139">
        <f t="shared" si="16"/>
        <v>0</v>
      </c>
      <c r="AT20" s="226">
        <f>IF(AR$4+$E$9&gt;1,1,0)</f>
        <v>0</v>
      </c>
      <c r="AU20" s="219"/>
      <c r="AW20" s="21"/>
      <c r="AX20" s="21">
        <f>SUM(AP20:AV20)</f>
        <v>0</v>
      </c>
      <c r="AY20" s="21">
        <f t="shared" si="26"/>
        <v>0</v>
      </c>
      <c r="AZ20" s="403">
        <f t="shared" si="19"/>
        <v>0</v>
      </c>
      <c r="BA20" s="21">
        <v>280</v>
      </c>
      <c r="BB20" s="24">
        <f t="shared" si="20"/>
        <v>0</v>
      </c>
      <c r="BC20" s="21">
        <f t="shared" si="21"/>
        <v>0</v>
      </c>
      <c r="BD20" s="23"/>
      <c r="BE20" s="21"/>
      <c r="BM20" s="21"/>
      <c r="BN20" s="24">
        <f t="shared" si="22"/>
        <v>0</v>
      </c>
      <c r="BO20">
        <f t="shared" si="23"/>
        <v>0</v>
      </c>
      <c r="BP20" s="49">
        <f t="shared" si="24"/>
        <v>0</v>
      </c>
    </row>
    <row r="21" spans="1:68" ht="12.75">
      <c r="A21">
        <v>8</v>
      </c>
      <c r="C21" t="s">
        <v>545</v>
      </c>
      <c r="D21" s="21"/>
      <c r="E21" s="21"/>
      <c r="F21" s="219"/>
      <c r="H21" s="220"/>
      <c r="I21" s="139">
        <f t="shared" si="1"/>
        <v>0</v>
      </c>
      <c r="J21" s="226">
        <f t="shared" si="2"/>
        <v>0</v>
      </c>
      <c r="K21" s="219"/>
      <c r="M21" s="21"/>
      <c r="N21" s="21">
        <f>SUM(F21:L21)</f>
        <v>0</v>
      </c>
      <c r="O21" s="21">
        <f t="shared" si="4"/>
        <v>0</v>
      </c>
      <c r="P21" s="403">
        <f t="shared" si="5"/>
        <v>0</v>
      </c>
      <c r="Q21" s="21">
        <v>120</v>
      </c>
      <c r="R21" s="24">
        <f t="shared" si="6"/>
        <v>0</v>
      </c>
      <c r="S21" s="21">
        <f t="shared" si="7"/>
        <v>0</v>
      </c>
      <c r="T21" s="23">
        <v>1</v>
      </c>
      <c r="U21" s="21"/>
      <c r="V21" s="21"/>
      <c r="W21" s="21"/>
      <c r="Z21" s="220"/>
      <c r="AA21" s="139">
        <f t="shared" si="9"/>
        <v>0</v>
      </c>
      <c r="AB21" s="226">
        <f>IF(Z$4+$E$9&gt;1,1,0)</f>
        <v>0</v>
      </c>
      <c r="AC21" s="219"/>
      <c r="AE21" s="21"/>
      <c r="AF21" s="21">
        <f>SUM(X21:AD21)</f>
        <v>0</v>
      </c>
      <c r="AG21" s="21">
        <f t="shared" si="25"/>
        <v>0</v>
      </c>
      <c r="AH21" s="403">
        <f t="shared" si="12"/>
        <v>0</v>
      </c>
      <c r="AI21" s="21">
        <v>120</v>
      </c>
      <c r="AJ21" s="24">
        <f t="shared" si="13"/>
        <v>0</v>
      </c>
      <c r="AK21" s="21">
        <f t="shared" si="14"/>
        <v>0</v>
      </c>
      <c r="AL21" s="23">
        <v>1</v>
      </c>
      <c r="AM21" s="21"/>
      <c r="AN21" s="21"/>
      <c r="AO21" s="21"/>
      <c r="AR21" s="220"/>
      <c r="AS21" s="139">
        <f t="shared" si="16"/>
        <v>0</v>
      </c>
      <c r="AT21" s="226">
        <f>IF(AR$4+$E$9&gt;1,1,0)</f>
        <v>0</v>
      </c>
      <c r="AU21" s="219"/>
      <c r="AW21" s="21"/>
      <c r="AX21" s="21">
        <f>SUM(AP21:AV21)</f>
        <v>0</v>
      </c>
      <c r="AY21" s="21">
        <f t="shared" si="26"/>
        <v>0</v>
      </c>
      <c r="AZ21" s="403">
        <f t="shared" si="19"/>
        <v>0</v>
      </c>
      <c r="BA21" s="21">
        <v>120</v>
      </c>
      <c r="BB21" s="24">
        <f t="shared" si="20"/>
        <v>0</v>
      </c>
      <c r="BC21" s="21">
        <f t="shared" si="21"/>
        <v>0</v>
      </c>
      <c r="BD21" s="23">
        <v>1</v>
      </c>
      <c r="BE21" s="21"/>
      <c r="BM21" s="21"/>
      <c r="BN21" s="24">
        <f t="shared" si="22"/>
        <v>0</v>
      </c>
      <c r="BO21">
        <f t="shared" si="23"/>
        <v>0</v>
      </c>
      <c r="BP21" s="49">
        <f t="shared" si="24"/>
        <v>0</v>
      </c>
    </row>
    <row r="22" spans="1:68" ht="12.75">
      <c r="A22">
        <v>9</v>
      </c>
      <c r="C22" t="s">
        <v>557</v>
      </c>
      <c r="D22" s="47">
        <f>IF(N20=0,0,Etude!$J$38)</f>
        <v>0</v>
      </c>
      <c r="E22" s="21">
        <f>IF(Etude!$G$9=1,0,D22)</f>
        <v>0</v>
      </c>
      <c r="F22" s="219"/>
      <c r="H22" s="220"/>
      <c r="I22" s="139">
        <f t="shared" si="1"/>
        <v>0</v>
      </c>
      <c r="J22" s="226">
        <f t="shared" si="2"/>
        <v>0</v>
      </c>
      <c r="K22" s="219"/>
      <c r="M22" s="21"/>
      <c r="N22" s="21">
        <f>SUM(F22:L22)</f>
        <v>0</v>
      </c>
      <c r="O22" s="21">
        <f t="shared" si="4"/>
        <v>0</v>
      </c>
      <c r="P22" s="403">
        <f t="shared" si="5"/>
        <v>0</v>
      </c>
      <c r="Q22" s="21">
        <f>90*$E$22</f>
        <v>0</v>
      </c>
      <c r="R22" s="24">
        <f t="shared" si="6"/>
        <v>0</v>
      </c>
      <c r="S22" s="21">
        <f t="shared" si="7"/>
        <v>0</v>
      </c>
      <c r="T22" s="23">
        <f>E22</f>
        <v>0</v>
      </c>
      <c r="U22" s="21"/>
      <c r="V22" s="21"/>
      <c r="W22" s="21"/>
      <c r="Z22" s="220"/>
      <c r="AA22" s="139">
        <f t="shared" si="9"/>
        <v>0</v>
      </c>
      <c r="AB22" s="226">
        <f>IF(Z$4+$E$9&gt;1,1,0)</f>
        <v>0</v>
      </c>
      <c r="AC22" s="219"/>
      <c r="AE22" s="21"/>
      <c r="AF22" s="21">
        <f>SUM(X22:AD22)</f>
        <v>0</v>
      </c>
      <c r="AG22" s="21">
        <f t="shared" si="25"/>
        <v>0</v>
      </c>
      <c r="AH22" s="403">
        <f t="shared" si="12"/>
        <v>0</v>
      </c>
      <c r="AI22" s="21">
        <f>90*$E$22</f>
        <v>0</v>
      </c>
      <c r="AJ22" s="24">
        <f t="shared" si="13"/>
        <v>0</v>
      </c>
      <c r="AK22" s="21">
        <f t="shared" si="14"/>
        <v>0</v>
      </c>
      <c r="AL22" s="23">
        <f>W22</f>
        <v>0</v>
      </c>
      <c r="AM22" s="21"/>
      <c r="AN22" s="21"/>
      <c r="AO22" s="21"/>
      <c r="AR22" s="220"/>
      <c r="AS22" s="139">
        <f t="shared" si="16"/>
        <v>0</v>
      </c>
      <c r="AT22" s="226">
        <f>IF(AR$4+$E$9&gt;1,1,0)</f>
        <v>0</v>
      </c>
      <c r="AU22" s="219"/>
      <c r="AW22" s="21"/>
      <c r="AX22" s="21">
        <f>SUM(AP22:AV22)</f>
        <v>0</v>
      </c>
      <c r="AY22" s="21">
        <f t="shared" si="26"/>
        <v>0</v>
      </c>
      <c r="AZ22" s="403">
        <f t="shared" si="19"/>
        <v>0</v>
      </c>
      <c r="BA22" s="21">
        <f>90*$E$22</f>
        <v>0</v>
      </c>
      <c r="BB22" s="24">
        <f t="shared" si="20"/>
        <v>0</v>
      </c>
      <c r="BC22" s="21">
        <f t="shared" si="21"/>
        <v>0</v>
      </c>
      <c r="BD22" s="23">
        <f>AO22</f>
        <v>0</v>
      </c>
      <c r="BE22" s="21"/>
      <c r="BM22" s="21"/>
      <c r="BN22" s="24">
        <f t="shared" si="22"/>
        <v>0</v>
      </c>
      <c r="BO22">
        <f t="shared" si="23"/>
        <v>0</v>
      </c>
      <c r="BP22" s="49">
        <f t="shared" si="24"/>
        <v>0</v>
      </c>
    </row>
    <row r="23" spans="1:68" ht="12.75">
      <c r="A23">
        <v>10</v>
      </c>
      <c r="C23" t="s">
        <v>546</v>
      </c>
      <c r="D23" s="21"/>
      <c r="E23" s="21"/>
      <c r="F23" s="219"/>
      <c r="H23" s="138">
        <f>IF(H$2+$E$9&gt;1,1,0)</f>
        <v>0</v>
      </c>
      <c r="I23" s="139">
        <f t="shared" si="1"/>
        <v>0</v>
      </c>
      <c r="J23" s="226">
        <f t="shared" si="2"/>
        <v>0</v>
      </c>
      <c r="K23" s="219"/>
      <c r="M23" s="21"/>
      <c r="N23" s="21">
        <f>SUM(F23:L23)</f>
        <v>0</v>
      </c>
      <c r="O23" s="21">
        <f t="shared" si="4"/>
        <v>0</v>
      </c>
      <c r="P23" s="36">
        <f t="shared" si="5"/>
        <v>0</v>
      </c>
      <c r="Q23" s="21">
        <v>120</v>
      </c>
      <c r="R23" s="24">
        <f t="shared" si="6"/>
        <v>0</v>
      </c>
      <c r="S23" s="21">
        <f t="shared" si="7"/>
        <v>0</v>
      </c>
      <c r="T23" s="23"/>
      <c r="U23" s="21"/>
      <c r="V23" s="21"/>
      <c r="W23" s="21"/>
      <c r="Z23" s="138">
        <f>IF(Z$2+$E$9&gt;1,1,0)</f>
        <v>0</v>
      </c>
      <c r="AA23" s="139">
        <f t="shared" si="9"/>
        <v>0</v>
      </c>
      <c r="AB23" s="226">
        <f>IF(Z$4+$E$9&gt;1,1,0)</f>
        <v>0</v>
      </c>
      <c r="AC23" s="219"/>
      <c r="AE23" s="21"/>
      <c r="AF23" s="21">
        <f>SUM(X23:AD23)</f>
        <v>0</v>
      </c>
      <c r="AG23" s="21">
        <f t="shared" si="25"/>
        <v>0</v>
      </c>
      <c r="AH23" s="36">
        <f t="shared" si="12"/>
        <v>0</v>
      </c>
      <c r="AI23" s="21">
        <v>120</v>
      </c>
      <c r="AJ23" s="24">
        <f t="shared" si="13"/>
        <v>0</v>
      </c>
      <c r="AK23" s="21">
        <f t="shared" si="14"/>
        <v>0</v>
      </c>
      <c r="AL23" s="23"/>
      <c r="AM23" s="21"/>
      <c r="AN23" s="21"/>
      <c r="AO23" s="21"/>
      <c r="AR23" s="138">
        <f>IF(AR$2+$E$9&gt;1,1,0)</f>
        <v>0</v>
      </c>
      <c r="AS23" s="139">
        <f t="shared" si="16"/>
        <v>0</v>
      </c>
      <c r="AT23" s="226">
        <f>IF(AR$4+$E$9&gt;1,1,0)</f>
        <v>0</v>
      </c>
      <c r="AU23" s="219"/>
      <c r="AW23" s="21"/>
      <c r="AX23" s="21">
        <f>SUM(AP23:AV23)</f>
        <v>0</v>
      </c>
      <c r="AY23" s="21">
        <f t="shared" si="26"/>
        <v>0</v>
      </c>
      <c r="AZ23" s="36">
        <f t="shared" si="19"/>
        <v>0</v>
      </c>
      <c r="BA23" s="21">
        <v>120</v>
      </c>
      <c r="BB23" s="24">
        <f t="shared" si="20"/>
        <v>0</v>
      </c>
      <c r="BC23" s="21">
        <f t="shared" si="21"/>
        <v>0</v>
      </c>
      <c r="BD23" s="23"/>
      <c r="BE23" s="21"/>
      <c r="BM23" s="21"/>
      <c r="BN23" s="24">
        <f t="shared" si="22"/>
        <v>0</v>
      </c>
      <c r="BO23">
        <f t="shared" si="23"/>
        <v>0</v>
      </c>
      <c r="BP23" s="49">
        <f t="shared" si="24"/>
        <v>0</v>
      </c>
    </row>
    <row r="24" spans="1:68" ht="12.75">
      <c r="A24">
        <v>11</v>
      </c>
      <c r="C24" t="s">
        <v>547</v>
      </c>
      <c r="D24" s="21"/>
      <c r="E24" s="21"/>
      <c r="F24" s="219"/>
      <c r="H24" s="220"/>
      <c r="I24" s="221"/>
      <c r="J24" s="226">
        <f t="shared" si="2"/>
        <v>0</v>
      </c>
      <c r="K24" s="219"/>
      <c r="M24" s="21"/>
      <c r="N24" s="21">
        <f>SUM(F24:L24)</f>
        <v>0</v>
      </c>
      <c r="O24" s="21">
        <f t="shared" si="4"/>
        <v>0</v>
      </c>
      <c r="P24" s="36">
        <f t="shared" si="5"/>
        <v>0</v>
      </c>
      <c r="Q24" s="21">
        <f>120+(60*E22)</f>
        <v>120</v>
      </c>
      <c r="R24" s="24">
        <f t="shared" si="6"/>
        <v>0</v>
      </c>
      <c r="S24" s="21">
        <f t="shared" si="7"/>
        <v>0</v>
      </c>
      <c r="T24" s="23"/>
      <c r="U24" s="21"/>
      <c r="V24" s="21"/>
      <c r="W24" s="21"/>
      <c r="Z24" s="220"/>
      <c r="AA24" s="221"/>
      <c r="AB24" s="226">
        <f>IF(Z$4+$E$9&gt;1,1,0)</f>
        <v>0</v>
      </c>
      <c r="AC24" s="219"/>
      <c r="AE24" s="21"/>
      <c r="AF24" s="21">
        <f>SUM(X24:AD24)</f>
        <v>0</v>
      </c>
      <c r="AG24" s="21">
        <f t="shared" si="25"/>
        <v>0</v>
      </c>
      <c r="AH24" s="36">
        <f t="shared" si="12"/>
        <v>0</v>
      </c>
      <c r="AI24" s="21">
        <f>120+(60*W22)</f>
        <v>120</v>
      </c>
      <c r="AJ24" s="24">
        <f t="shared" si="13"/>
        <v>0</v>
      </c>
      <c r="AK24" s="21">
        <f t="shared" si="14"/>
        <v>0</v>
      </c>
      <c r="AL24" s="23"/>
      <c r="AM24" s="21"/>
      <c r="AN24" s="21"/>
      <c r="AO24" s="21"/>
      <c r="AR24" s="220"/>
      <c r="AS24" s="221"/>
      <c r="AT24" s="226">
        <f>IF(AR$4+$E$9&gt;1,1,0)</f>
        <v>0</v>
      </c>
      <c r="AU24" s="219"/>
      <c r="AW24" s="21"/>
      <c r="AX24" s="21">
        <f>SUM(AP24:AV24)</f>
        <v>0</v>
      </c>
      <c r="AY24" s="21">
        <f t="shared" si="26"/>
        <v>0</v>
      </c>
      <c r="AZ24" s="36">
        <f t="shared" si="19"/>
        <v>0</v>
      </c>
      <c r="BA24" s="21">
        <f>120+(60*AO22)</f>
        <v>120</v>
      </c>
      <c r="BB24" s="24">
        <f t="shared" si="20"/>
        <v>0</v>
      </c>
      <c r="BC24" s="21">
        <f t="shared" si="21"/>
        <v>0</v>
      </c>
      <c r="BD24" s="23"/>
      <c r="BE24" s="21"/>
      <c r="BM24" s="21"/>
      <c r="BN24" s="24">
        <f t="shared" si="22"/>
        <v>0</v>
      </c>
      <c r="BO24">
        <f t="shared" si="23"/>
        <v>0</v>
      </c>
      <c r="BP24" s="49">
        <f t="shared" si="24"/>
        <v>0</v>
      </c>
    </row>
    <row r="25" spans="4:68" ht="12.75">
      <c r="D25" s="21"/>
      <c r="E25" s="21"/>
      <c r="F25" s="135"/>
      <c r="H25" s="34"/>
      <c r="I25" s="33"/>
      <c r="J25" s="224"/>
      <c r="K25" s="135"/>
      <c r="M25" s="21"/>
      <c r="N25" s="21"/>
      <c r="O25" s="21"/>
      <c r="P25" s="36"/>
      <c r="Q25" s="21"/>
      <c r="R25" s="24"/>
      <c r="S25" s="21"/>
      <c r="T25" s="21"/>
      <c r="U25" s="21"/>
      <c r="V25" s="21"/>
      <c r="W25" s="21"/>
      <c r="Z25" s="34"/>
      <c r="AA25" s="33"/>
      <c r="AB25" s="224"/>
      <c r="AC25" s="135"/>
      <c r="AE25" s="21"/>
      <c r="AF25" s="21"/>
      <c r="AG25" s="21"/>
      <c r="AH25" s="36"/>
      <c r="AI25" s="21"/>
      <c r="AJ25" s="24"/>
      <c r="AK25" s="21"/>
      <c r="AL25" s="21"/>
      <c r="AM25" s="21"/>
      <c r="AN25" s="21"/>
      <c r="AO25" s="21"/>
      <c r="AR25" s="34"/>
      <c r="AS25" s="33"/>
      <c r="AT25" s="224"/>
      <c r="AU25" s="135"/>
      <c r="AW25" s="21"/>
      <c r="AX25" s="21"/>
      <c r="AY25" s="21"/>
      <c r="AZ25" s="36"/>
      <c r="BA25" s="21"/>
      <c r="BB25" s="24"/>
      <c r="BC25" s="21"/>
      <c r="BD25" s="21"/>
      <c r="BE25" s="21"/>
      <c r="BM25" s="21"/>
      <c r="BN25" s="24"/>
      <c r="BP25" s="49"/>
    </row>
    <row r="26" spans="3:68" ht="12.75">
      <c r="C26" s="29" t="s">
        <v>1</v>
      </c>
      <c r="D26" s="23"/>
      <c r="E26" s="23"/>
      <c r="F26" s="6"/>
      <c r="H26" s="220" t="s">
        <v>538</v>
      </c>
      <c r="I26" s="221" t="s">
        <v>537</v>
      </c>
      <c r="J26" s="223" t="s">
        <v>536</v>
      </c>
      <c r="K26" s="219" t="s">
        <v>64</v>
      </c>
      <c r="M26" s="21"/>
      <c r="N26" s="21"/>
      <c r="O26" s="21"/>
      <c r="P26" s="36"/>
      <c r="Q26" s="21"/>
      <c r="R26" s="24"/>
      <c r="S26" s="21"/>
      <c r="T26" s="21"/>
      <c r="U26" s="21"/>
      <c r="V26" s="21"/>
      <c r="W26" s="23"/>
      <c r="Z26" s="220" t="s">
        <v>538</v>
      </c>
      <c r="AA26" s="221" t="s">
        <v>537</v>
      </c>
      <c r="AB26" s="223" t="s">
        <v>536</v>
      </c>
      <c r="AC26" s="219" t="s">
        <v>64</v>
      </c>
      <c r="AE26" s="21"/>
      <c r="AF26" s="21"/>
      <c r="AG26" s="21"/>
      <c r="AH26" s="36"/>
      <c r="AI26" s="21"/>
      <c r="AJ26" s="24"/>
      <c r="AK26" s="21"/>
      <c r="AL26" s="21"/>
      <c r="AM26" s="21"/>
      <c r="AN26" s="21"/>
      <c r="AO26" s="23"/>
      <c r="AR26" s="220" t="s">
        <v>538</v>
      </c>
      <c r="AS26" s="221" t="s">
        <v>537</v>
      </c>
      <c r="AT26" s="223" t="s">
        <v>536</v>
      </c>
      <c r="AU26" s="219" t="s">
        <v>64</v>
      </c>
      <c r="AW26" s="21"/>
      <c r="AX26" s="21"/>
      <c r="AY26" s="21"/>
      <c r="AZ26" s="36"/>
      <c r="BA26" s="21"/>
      <c r="BB26" s="24"/>
      <c r="BC26" s="21"/>
      <c r="BD26" s="21"/>
      <c r="BE26" s="21"/>
      <c r="BM26" s="21"/>
      <c r="BN26" s="24"/>
      <c r="BP26" s="49"/>
    </row>
    <row r="27" spans="1:68" ht="12.75">
      <c r="A27">
        <v>28</v>
      </c>
      <c r="C27" t="s">
        <v>6</v>
      </c>
      <c r="D27" s="21"/>
      <c r="E27" s="21"/>
      <c r="F27" s="135"/>
      <c r="H27" s="138">
        <f>IF(H$2+$E$10&gt;1,1,0)</f>
        <v>0</v>
      </c>
      <c r="I27" s="139">
        <f>IF(H$3+$E$10&gt;1,1,0)</f>
        <v>0</v>
      </c>
      <c r="J27" s="226">
        <f>IF(H$4+$E$10&gt;1,1,0)</f>
        <v>0</v>
      </c>
      <c r="K27" s="135"/>
      <c r="M27" s="21"/>
      <c r="N27" s="21">
        <f>SUM(F27:L27)</f>
        <v>0</v>
      </c>
      <c r="O27" s="21">
        <f>IF(AND(P$10&gt;0,$N27&gt;0),1,0)</f>
        <v>0</v>
      </c>
      <c r="P27" s="36">
        <f>Q27*O27</f>
        <v>0</v>
      </c>
      <c r="Q27" s="21">
        <v>30</v>
      </c>
      <c r="R27" s="24">
        <f>P27/50</f>
        <v>0</v>
      </c>
      <c r="S27" s="21">
        <f>O27*1</f>
        <v>0</v>
      </c>
      <c r="T27" s="21">
        <f>O27*1</f>
        <v>0</v>
      </c>
      <c r="U27" s="21"/>
      <c r="V27" s="21"/>
      <c r="W27" s="21"/>
      <c r="Z27" s="138">
        <f>IF(Z$2+$E$10&gt;1,1,0)</f>
        <v>0</v>
      </c>
      <c r="AA27" s="139">
        <f>IF(Z$3+$E$10&gt;1,1,0)</f>
        <v>0</v>
      </c>
      <c r="AB27" s="226">
        <f>IF(Z$4+$E$10&gt;1,1,0)</f>
        <v>0</v>
      </c>
      <c r="AC27" s="135"/>
      <c r="AE27" s="21"/>
      <c r="AF27" s="21">
        <f>SUM(X27:AD27)</f>
        <v>0</v>
      </c>
      <c r="AG27" s="21">
        <f>IF(AND(AH$10&gt;0,$N27&gt;0),1,0)</f>
        <v>0</v>
      </c>
      <c r="AH27" s="36">
        <f>AI27*AG27</f>
        <v>0</v>
      </c>
      <c r="AI27" s="21">
        <v>30</v>
      </c>
      <c r="AJ27" s="24">
        <f>AH27/50</f>
        <v>0</v>
      </c>
      <c r="AK27" s="21">
        <f>AG27*1</f>
        <v>0</v>
      </c>
      <c r="AL27" s="21">
        <f>AG27*1</f>
        <v>0</v>
      </c>
      <c r="AM27" s="21"/>
      <c r="AN27" s="21"/>
      <c r="AO27" s="21"/>
      <c r="AR27" s="138">
        <f>IF(AR$2+$E$10&gt;1,1,0)</f>
        <v>0</v>
      </c>
      <c r="AS27" s="139">
        <f>IF(AR$3+$E$10&gt;1,1,0)</f>
        <v>0</v>
      </c>
      <c r="AT27" s="226">
        <f>IF(AR$4+$E$10&gt;1,1,0)</f>
        <v>0</v>
      </c>
      <c r="AU27" s="135"/>
      <c r="AW27" s="21"/>
      <c r="AX27" s="21">
        <f>SUM(AP27:AV27)</f>
        <v>0</v>
      </c>
      <c r="AY27" s="21">
        <f>IF(AND(AZ$10&gt;0,$N27&gt;0),1,0)</f>
        <v>0</v>
      </c>
      <c r="AZ27" s="36">
        <f>BA27*AY27</f>
        <v>0</v>
      </c>
      <c r="BA27" s="21">
        <v>30</v>
      </c>
      <c r="BB27" s="24">
        <f>AZ27/50</f>
        <v>0</v>
      </c>
      <c r="BC27" s="21">
        <f>AY27*1</f>
        <v>0</v>
      </c>
      <c r="BD27" s="21">
        <f>AY27*1</f>
        <v>0</v>
      </c>
      <c r="BE27" s="21"/>
      <c r="BM27" s="21"/>
      <c r="BN27" s="24">
        <f>R27+AJ27+BB27</f>
        <v>0</v>
      </c>
      <c r="BO27">
        <f aca="true" t="shared" si="27" ref="BO27:BP30">O27+AG27+AY27</f>
        <v>0</v>
      </c>
      <c r="BP27" s="49">
        <f t="shared" si="27"/>
        <v>0</v>
      </c>
    </row>
    <row r="28" spans="1:68" ht="12.75">
      <c r="A28">
        <v>29</v>
      </c>
      <c r="C28" t="s">
        <v>7</v>
      </c>
      <c r="D28" s="21"/>
      <c r="E28" s="21"/>
      <c r="F28" s="135"/>
      <c r="H28" s="138">
        <f>IF(H$2+$E$10&gt;1,1,0)</f>
        <v>0</v>
      </c>
      <c r="I28" s="139">
        <f>IF(H$3+$E$10&gt;1,1,0)</f>
        <v>0</v>
      </c>
      <c r="J28" s="226">
        <f>IF(H$4+$E$10&gt;1,1,0)</f>
        <v>0</v>
      </c>
      <c r="K28" s="135"/>
      <c r="M28" s="21"/>
      <c r="N28" s="21">
        <f>SUM(F28:L28)</f>
        <v>0</v>
      </c>
      <c r="O28" s="21">
        <f>IF(AND(P$10&gt;0,$N28&gt;0),1,0)</f>
        <v>0</v>
      </c>
      <c r="P28" s="36">
        <f>Q28*O28</f>
        <v>0</v>
      </c>
      <c r="Q28" s="21">
        <v>30</v>
      </c>
      <c r="R28" s="24">
        <f>P28/50</f>
        <v>0</v>
      </c>
      <c r="S28" s="21">
        <f>O28*3</f>
        <v>0</v>
      </c>
      <c r="T28" s="21">
        <f>O28*2</f>
        <v>0</v>
      </c>
      <c r="U28" s="21"/>
      <c r="V28" s="21"/>
      <c r="W28" s="21"/>
      <c r="Z28" s="138">
        <f>IF(Z$2+$E$10&gt;1,1,0)</f>
        <v>0</v>
      </c>
      <c r="AA28" s="139">
        <f>IF(Z$3+$E$10&gt;1,1,0)</f>
        <v>0</v>
      </c>
      <c r="AB28" s="226">
        <f>IF(Z$4+$E$10&gt;1,1,0)</f>
        <v>0</v>
      </c>
      <c r="AC28" s="135"/>
      <c r="AE28" s="21"/>
      <c r="AF28" s="21">
        <f>SUM(X28:AD28)</f>
        <v>0</v>
      </c>
      <c r="AG28" s="21">
        <f>IF(AND(AH$10&gt;0,$N28&gt;0),1,0)</f>
        <v>0</v>
      </c>
      <c r="AH28" s="36">
        <f>AI28*AG28</f>
        <v>0</v>
      </c>
      <c r="AI28" s="21">
        <v>30</v>
      </c>
      <c r="AJ28" s="24">
        <f>AH28/50</f>
        <v>0</v>
      </c>
      <c r="AK28" s="21">
        <f>AG28*3</f>
        <v>0</v>
      </c>
      <c r="AL28" s="21">
        <f>AG28*2</f>
        <v>0</v>
      </c>
      <c r="AM28" s="21"/>
      <c r="AN28" s="21"/>
      <c r="AO28" s="21"/>
      <c r="AR28" s="138">
        <f>IF(AR$2+$E$10&gt;1,1,0)</f>
        <v>0</v>
      </c>
      <c r="AS28" s="139">
        <f>IF(AR$3+$E$10&gt;1,1,0)</f>
        <v>0</v>
      </c>
      <c r="AT28" s="226">
        <f>IF(AR$4+$E$10&gt;1,1,0)</f>
        <v>0</v>
      </c>
      <c r="AU28" s="135"/>
      <c r="AW28" s="21"/>
      <c r="AX28" s="21">
        <f>SUM(AP28:AV28)</f>
        <v>0</v>
      </c>
      <c r="AY28" s="21">
        <f>IF(AND(AZ$10&gt;0,$N28&gt;0),1,0)</f>
        <v>0</v>
      </c>
      <c r="AZ28" s="36">
        <f>BA28*AY28</f>
        <v>0</v>
      </c>
      <c r="BA28" s="21">
        <v>30</v>
      </c>
      <c r="BB28" s="24">
        <f>AZ28/50</f>
        <v>0</v>
      </c>
      <c r="BC28" s="21">
        <f>AY28*3</f>
        <v>0</v>
      </c>
      <c r="BD28" s="21">
        <f>AY28*2</f>
        <v>0</v>
      </c>
      <c r="BE28" s="21"/>
      <c r="BM28" s="21"/>
      <c r="BN28" s="24">
        <f>R28+AJ28+BB28</f>
        <v>0</v>
      </c>
      <c r="BO28">
        <f t="shared" si="27"/>
        <v>0</v>
      </c>
      <c r="BP28" s="49">
        <f t="shared" si="27"/>
        <v>0</v>
      </c>
    </row>
    <row r="29" spans="3:68" ht="12.75">
      <c r="C29" t="s">
        <v>8</v>
      </c>
      <c r="D29" s="21"/>
      <c r="E29" s="21"/>
      <c r="F29" s="135"/>
      <c r="H29" s="138">
        <f>IF(H$2+$E$10&gt;1,1,0)</f>
        <v>0</v>
      </c>
      <c r="I29" s="139">
        <f>IF(H$3+$E$10&gt;1,1,0)</f>
        <v>0</v>
      </c>
      <c r="J29" s="226">
        <f>IF(H$4+$E$10&gt;1,1,0)</f>
        <v>0</v>
      </c>
      <c r="K29" s="135"/>
      <c r="M29" s="21"/>
      <c r="N29" s="21">
        <f>SUM(F29:L29)</f>
        <v>0</v>
      </c>
      <c r="O29" s="21">
        <f>IF(AND(P$10&gt;0,$N29&gt;0),1,0)</f>
        <v>0</v>
      </c>
      <c r="P29" s="36">
        <f>Q29*O29</f>
        <v>0</v>
      </c>
      <c r="Q29" s="21">
        <v>30</v>
      </c>
      <c r="R29" s="24">
        <f>P29/50</f>
        <v>0</v>
      </c>
      <c r="S29" s="21">
        <f>O29*1</f>
        <v>0</v>
      </c>
      <c r="T29" s="21">
        <f>O29*1</f>
        <v>0</v>
      </c>
      <c r="U29" s="21"/>
      <c r="V29" s="21"/>
      <c r="W29" s="21"/>
      <c r="Z29" s="138">
        <f>IF(Z$2+$E$10&gt;1,1,0)</f>
        <v>0</v>
      </c>
      <c r="AA29" s="139">
        <f>IF(Z$3+$E$10&gt;1,1,0)</f>
        <v>0</v>
      </c>
      <c r="AB29" s="226">
        <f>IF(Z$4+$E$10&gt;1,1,0)</f>
        <v>0</v>
      </c>
      <c r="AC29" s="135"/>
      <c r="AE29" s="21"/>
      <c r="AF29" s="21">
        <f>SUM(X29:AD29)</f>
        <v>0</v>
      </c>
      <c r="AG29" s="21">
        <f>IF(AND(AH$10&gt;0,$N29&gt;0),1,0)</f>
        <v>0</v>
      </c>
      <c r="AH29" s="36">
        <f>AI29*AG29</f>
        <v>0</v>
      </c>
      <c r="AI29" s="21">
        <v>30</v>
      </c>
      <c r="AJ29" s="24">
        <f>AH29/50</f>
        <v>0</v>
      </c>
      <c r="AK29" s="21">
        <f>AG29*1</f>
        <v>0</v>
      </c>
      <c r="AL29" s="21">
        <f>AG29*1</f>
        <v>0</v>
      </c>
      <c r="AM29" s="21"/>
      <c r="AN29" s="21"/>
      <c r="AO29" s="21"/>
      <c r="AR29" s="138">
        <f>IF(AR$2+$E$10&gt;1,1,0)</f>
        <v>0</v>
      </c>
      <c r="AS29" s="139">
        <f>IF(AR$3+$E$10&gt;1,1,0)</f>
        <v>0</v>
      </c>
      <c r="AT29" s="226">
        <f>IF(AR$4+$E$10&gt;1,1,0)</f>
        <v>0</v>
      </c>
      <c r="AU29" s="135"/>
      <c r="AW29" s="21"/>
      <c r="AX29" s="21">
        <f>SUM(AP29:AV29)</f>
        <v>0</v>
      </c>
      <c r="AY29" s="21">
        <f>IF(AND(AZ$10&gt;0,$N29&gt;0),1,0)</f>
        <v>0</v>
      </c>
      <c r="AZ29" s="36">
        <f>BA29*AY29</f>
        <v>0</v>
      </c>
      <c r="BA29" s="21">
        <v>30</v>
      </c>
      <c r="BB29" s="24">
        <f>AZ29/50</f>
        <v>0</v>
      </c>
      <c r="BC29" s="21">
        <f>AY29*1</f>
        <v>0</v>
      </c>
      <c r="BD29" s="21">
        <f>AY29*1</f>
        <v>0</v>
      </c>
      <c r="BE29" s="21"/>
      <c r="BM29" s="21"/>
      <c r="BN29" s="24">
        <f>R29+AJ29+BB29</f>
        <v>0</v>
      </c>
      <c r="BO29">
        <f t="shared" si="27"/>
        <v>0</v>
      </c>
      <c r="BP29" s="49">
        <f t="shared" si="27"/>
        <v>0</v>
      </c>
    </row>
    <row r="30" spans="1:68" ht="12.75">
      <c r="A30">
        <v>30</v>
      </c>
      <c r="C30" t="s">
        <v>9</v>
      </c>
      <c r="D30" s="21"/>
      <c r="E30" s="21"/>
      <c r="F30" s="135"/>
      <c r="H30" s="138">
        <f>IF(H$2+$E$10&gt;1,1,0)</f>
        <v>0</v>
      </c>
      <c r="I30" s="139">
        <f>IF(H$3+$E$10&gt;1,1,0)</f>
        <v>0</v>
      </c>
      <c r="J30" s="226">
        <f>IF(H$4+$E$10&gt;1,1,0)</f>
        <v>0</v>
      </c>
      <c r="K30" s="135"/>
      <c r="M30" s="21"/>
      <c r="N30" s="21">
        <f>SUM(F30:L30)</f>
        <v>0</v>
      </c>
      <c r="O30" s="21">
        <f>IF(AND(P$10&gt;0,$N30&gt;0),1,0)</f>
        <v>0</v>
      </c>
      <c r="P30" s="36">
        <f>Q30*O30</f>
        <v>0</v>
      </c>
      <c r="Q30" s="21">
        <v>30</v>
      </c>
      <c r="R30" s="24">
        <f>P30/50</f>
        <v>0</v>
      </c>
      <c r="S30" s="21">
        <f>O30*1</f>
        <v>0</v>
      </c>
      <c r="T30" s="21">
        <f>O30*1</f>
        <v>0</v>
      </c>
      <c r="U30" s="21"/>
      <c r="V30" s="21"/>
      <c r="W30" s="21"/>
      <c r="Z30" s="138">
        <f>IF(Z$2+$E$10&gt;1,1,0)</f>
        <v>0</v>
      </c>
      <c r="AA30" s="139">
        <f>IF(Z$3+$E$10&gt;1,1,0)</f>
        <v>0</v>
      </c>
      <c r="AB30" s="226">
        <f>IF(Z$4+$E$10&gt;1,1,0)</f>
        <v>0</v>
      </c>
      <c r="AC30" s="135"/>
      <c r="AE30" s="21"/>
      <c r="AF30" s="21">
        <f>SUM(X30:AD30)</f>
        <v>0</v>
      </c>
      <c r="AG30" s="21">
        <f>IF(AND(AH$10&gt;0,$N30&gt;0),1,0)</f>
        <v>0</v>
      </c>
      <c r="AH30" s="36">
        <f>AI30*AG30</f>
        <v>0</v>
      </c>
      <c r="AI30" s="21">
        <v>30</v>
      </c>
      <c r="AJ30" s="24">
        <f>AH30/50</f>
        <v>0</v>
      </c>
      <c r="AK30" s="21">
        <f>AG30*1</f>
        <v>0</v>
      </c>
      <c r="AL30" s="21">
        <f>AG30*1</f>
        <v>0</v>
      </c>
      <c r="AM30" s="21"/>
      <c r="AN30" s="21"/>
      <c r="AO30" s="21"/>
      <c r="AR30" s="138">
        <f>IF(AR$2+$E$10&gt;1,1,0)</f>
        <v>0</v>
      </c>
      <c r="AS30" s="139">
        <f>IF(AR$3+$E$10&gt;1,1,0)</f>
        <v>0</v>
      </c>
      <c r="AT30" s="226">
        <f>IF(AR$4+$E$10&gt;1,1,0)</f>
        <v>0</v>
      </c>
      <c r="AU30" s="135"/>
      <c r="AW30" s="21"/>
      <c r="AX30" s="21">
        <f>SUM(AP30:AV30)</f>
        <v>0</v>
      </c>
      <c r="AY30" s="21">
        <f>IF(AND(AZ$10&gt;0,$N30&gt;0),1,0)</f>
        <v>0</v>
      </c>
      <c r="AZ30" s="36">
        <f>BA30*AY30</f>
        <v>0</v>
      </c>
      <c r="BA30" s="21">
        <v>30</v>
      </c>
      <c r="BB30" s="24">
        <f>AZ30/50</f>
        <v>0</v>
      </c>
      <c r="BC30" s="21">
        <f>AY30*1</f>
        <v>0</v>
      </c>
      <c r="BD30" s="21">
        <f>AY30*1</f>
        <v>0</v>
      </c>
      <c r="BE30" s="21"/>
      <c r="BM30" s="21"/>
      <c r="BN30" s="24">
        <f>R30+AJ30+BB30</f>
        <v>0</v>
      </c>
      <c r="BO30">
        <f t="shared" si="27"/>
        <v>0</v>
      </c>
      <c r="BP30" s="49">
        <f t="shared" si="27"/>
        <v>0</v>
      </c>
    </row>
    <row r="31" spans="4:68" ht="12.75">
      <c r="D31" s="21"/>
      <c r="E31" s="21"/>
      <c r="F31" s="135"/>
      <c r="H31" s="34"/>
      <c r="I31" s="33"/>
      <c r="J31" s="224"/>
      <c r="K31" s="135"/>
      <c r="M31" s="21"/>
      <c r="N31" s="21"/>
      <c r="O31" s="21"/>
      <c r="P31" s="36"/>
      <c r="Q31" s="21"/>
      <c r="R31" s="24"/>
      <c r="S31" s="21"/>
      <c r="T31" s="21"/>
      <c r="U31" s="21"/>
      <c r="V31" s="21"/>
      <c r="W31" s="21"/>
      <c r="Z31" s="34"/>
      <c r="AA31" s="33"/>
      <c r="AB31" s="224"/>
      <c r="AC31" s="135"/>
      <c r="AE31" s="21"/>
      <c r="AF31" s="21"/>
      <c r="AG31" s="21"/>
      <c r="AH31" s="36"/>
      <c r="AI31" s="21"/>
      <c r="AJ31" s="24"/>
      <c r="AK31" s="21"/>
      <c r="AL31" s="21"/>
      <c r="AM31" s="21"/>
      <c r="AN31" s="21"/>
      <c r="AO31" s="21"/>
      <c r="AR31" s="34"/>
      <c r="AS31" s="33"/>
      <c r="AT31" s="224"/>
      <c r="AU31" s="135"/>
      <c r="AW31" s="21"/>
      <c r="AX31" s="21"/>
      <c r="AY31" s="21"/>
      <c r="AZ31" s="36"/>
      <c r="BA31" s="21"/>
      <c r="BB31" s="24"/>
      <c r="BC31" s="21"/>
      <c r="BD31" s="21"/>
      <c r="BE31" s="21"/>
      <c r="BM31" s="21"/>
      <c r="BN31" s="24"/>
      <c r="BP31" s="49"/>
    </row>
    <row r="32" spans="1:68" ht="12.75">
      <c r="A32">
        <v>31</v>
      </c>
      <c r="C32" t="s">
        <v>69</v>
      </c>
      <c r="D32" s="21"/>
      <c r="E32" s="21"/>
      <c r="F32" s="135"/>
      <c r="H32" s="34"/>
      <c r="I32" s="139">
        <f>IF(H$3+$E$10&gt;1,1,0)</f>
        <v>0</v>
      </c>
      <c r="J32" s="226">
        <f>IF(H$4+$E$10&gt;1,1,0)</f>
        <v>0</v>
      </c>
      <c r="K32" s="135"/>
      <c r="M32" s="21"/>
      <c r="N32" s="21">
        <f>SUM(F32:L32)</f>
        <v>0</v>
      </c>
      <c r="O32" s="21">
        <f>IF(AND(P$10&gt;0,$N32&gt;0),1,0)</f>
        <v>0</v>
      </c>
      <c r="P32" s="36">
        <f>Q32*O32</f>
        <v>0</v>
      </c>
      <c r="Q32" s="21">
        <v>120</v>
      </c>
      <c r="R32" s="24">
        <f>P32/50</f>
        <v>0</v>
      </c>
      <c r="S32" s="21">
        <f>O32*2</f>
        <v>0</v>
      </c>
      <c r="T32" s="21">
        <f>O32*9</f>
        <v>0</v>
      </c>
      <c r="U32" s="21"/>
      <c r="V32" s="21"/>
      <c r="W32" s="21"/>
      <c r="Z32" s="34"/>
      <c r="AA32" s="139">
        <f>IF(Z$3+$E$10&gt;1,1,0)</f>
        <v>0</v>
      </c>
      <c r="AB32" s="226">
        <f>IF(Z$4+$E$10&gt;1,1,0)</f>
        <v>0</v>
      </c>
      <c r="AC32" s="135"/>
      <c r="AE32" s="21"/>
      <c r="AF32" s="21">
        <f>SUM(X32:AD32)</f>
        <v>0</v>
      </c>
      <c r="AG32" s="21">
        <f>IF(AND(AH$10&gt;0,$N32&gt;0),1,0)</f>
        <v>0</v>
      </c>
      <c r="AH32" s="36">
        <f>AI32*AG32</f>
        <v>0</v>
      </c>
      <c r="AI32" s="21">
        <v>120</v>
      </c>
      <c r="AJ32" s="24">
        <f>AH32/50</f>
        <v>0</v>
      </c>
      <c r="AK32" s="21">
        <f>AG32*2</f>
        <v>0</v>
      </c>
      <c r="AL32" s="21">
        <f>AG32*9</f>
        <v>0</v>
      </c>
      <c r="AM32" s="21"/>
      <c r="AN32" s="21"/>
      <c r="AO32" s="21"/>
      <c r="AR32" s="34"/>
      <c r="AS32" s="139">
        <f>IF(AR$3+$E$10&gt;1,1,0)</f>
        <v>0</v>
      </c>
      <c r="AT32" s="226">
        <f>IF(AR$4+$E$10&gt;1,1,0)</f>
        <v>0</v>
      </c>
      <c r="AU32" s="135"/>
      <c r="AW32" s="21"/>
      <c r="AX32" s="21">
        <f>SUM(AP32:AV32)</f>
        <v>0</v>
      </c>
      <c r="AY32" s="21">
        <f>IF(AND(AZ$10&gt;0,$N32&gt;0),1,0)</f>
        <v>0</v>
      </c>
      <c r="AZ32" s="36">
        <f>BA32*AY32</f>
        <v>0</v>
      </c>
      <c r="BA32" s="21">
        <v>120</v>
      </c>
      <c r="BB32" s="24">
        <f>AZ32/50</f>
        <v>0</v>
      </c>
      <c r="BC32" s="21">
        <f>AY32*2</f>
        <v>0</v>
      </c>
      <c r="BD32" s="21">
        <f>AY32*9</f>
        <v>0</v>
      </c>
      <c r="BE32" s="21"/>
      <c r="BM32" s="21"/>
      <c r="BN32" s="24">
        <f>R32+AJ32+BB32</f>
        <v>0</v>
      </c>
      <c r="BO32">
        <f>O32+AG32+AY32</f>
        <v>0</v>
      </c>
      <c r="BP32" s="49">
        <f>P32+AH32+AZ32</f>
        <v>0</v>
      </c>
    </row>
    <row r="33" spans="1:68" ht="12.75">
      <c r="A33">
        <v>32</v>
      </c>
      <c r="C33" t="s">
        <v>10</v>
      </c>
      <c r="D33" s="21"/>
      <c r="E33" s="21"/>
      <c r="F33" s="135"/>
      <c r="H33" s="34"/>
      <c r="I33" s="139">
        <f>IF(H$3+$E$10&gt;1,1,0)</f>
        <v>0</v>
      </c>
      <c r="J33" s="226">
        <f>IF(H$4+$E$10&gt;1,1,0)</f>
        <v>0</v>
      </c>
      <c r="K33" s="135"/>
      <c r="M33" s="21"/>
      <c r="N33" s="21">
        <f>SUM(F33:L33)</f>
        <v>0</v>
      </c>
      <c r="O33" s="21">
        <f>IF(AND(P$10&gt;0,$N33&gt;0),1,0)</f>
        <v>0</v>
      </c>
      <c r="P33" s="36">
        <f>Q33*O33</f>
        <v>0</v>
      </c>
      <c r="Q33" s="21">
        <v>60</v>
      </c>
      <c r="R33" s="24">
        <f>P33/50</f>
        <v>0</v>
      </c>
      <c r="S33" s="21">
        <f>O33*2</f>
        <v>0</v>
      </c>
      <c r="T33" s="21">
        <f>O33*8</f>
        <v>0</v>
      </c>
      <c r="U33" s="21"/>
      <c r="V33" s="21"/>
      <c r="W33" s="21"/>
      <c r="Z33" s="34"/>
      <c r="AA33" s="139">
        <f>IF(Z$3+$E$10&gt;1,1,0)</f>
        <v>0</v>
      </c>
      <c r="AB33" s="226">
        <f>IF(Z$4+$E$10&gt;1,1,0)</f>
        <v>0</v>
      </c>
      <c r="AC33" s="135"/>
      <c r="AE33" s="21"/>
      <c r="AF33" s="21">
        <f>SUM(X33:AD33)</f>
        <v>0</v>
      </c>
      <c r="AG33" s="21">
        <f>IF(AND(AH$10&gt;0,$N33&gt;0),1,0)</f>
        <v>0</v>
      </c>
      <c r="AH33" s="36">
        <f>AI33*AG33</f>
        <v>0</v>
      </c>
      <c r="AI33" s="21">
        <v>60</v>
      </c>
      <c r="AJ33" s="24">
        <f>AH33/50</f>
        <v>0</v>
      </c>
      <c r="AK33" s="21">
        <f>AG33*2</f>
        <v>0</v>
      </c>
      <c r="AL33" s="21">
        <f>AG33*8</f>
        <v>0</v>
      </c>
      <c r="AM33" s="21"/>
      <c r="AN33" s="21"/>
      <c r="AO33" s="21"/>
      <c r="AR33" s="34"/>
      <c r="AS33" s="139">
        <f>IF(AR$3+$E$10&gt;1,1,0)</f>
        <v>0</v>
      </c>
      <c r="AT33" s="226">
        <f>IF(AR$4+$E$10&gt;1,1,0)</f>
        <v>0</v>
      </c>
      <c r="AU33" s="135"/>
      <c r="AW33" s="21"/>
      <c r="AX33" s="21">
        <f>SUM(AP33:AV33)</f>
        <v>0</v>
      </c>
      <c r="AY33" s="21">
        <f>IF(AND(AZ$10&gt;0,$N33&gt;0),1,0)</f>
        <v>0</v>
      </c>
      <c r="AZ33" s="36">
        <f>BA33*AY33</f>
        <v>0</v>
      </c>
      <c r="BA33" s="21">
        <v>60</v>
      </c>
      <c r="BB33" s="24">
        <f>AZ33/50</f>
        <v>0</v>
      </c>
      <c r="BC33" s="21">
        <f>AY33*2</f>
        <v>0</v>
      </c>
      <c r="BD33" s="21">
        <f>AY33*8</f>
        <v>0</v>
      </c>
      <c r="BE33" s="21"/>
      <c r="BM33" s="21"/>
      <c r="BN33" s="24">
        <f>R33+AJ33+BB33</f>
        <v>0</v>
      </c>
      <c r="BO33">
        <f>O33+AG33+AY33</f>
        <v>0</v>
      </c>
      <c r="BP33" s="49">
        <f>P33+AH33+AZ33</f>
        <v>0</v>
      </c>
    </row>
    <row r="34" spans="4:68" ht="12.75">
      <c r="D34" s="21"/>
      <c r="E34" s="21"/>
      <c r="F34" s="135"/>
      <c r="H34" s="34"/>
      <c r="I34" s="33"/>
      <c r="J34" s="224"/>
      <c r="K34" s="135"/>
      <c r="M34" s="21"/>
      <c r="N34" s="21"/>
      <c r="O34" s="21"/>
      <c r="P34" s="36"/>
      <c r="Q34" s="21"/>
      <c r="R34" s="24"/>
      <c r="S34" s="21"/>
      <c r="T34" s="21"/>
      <c r="U34" s="21"/>
      <c r="V34" s="21"/>
      <c r="W34" s="21"/>
      <c r="Z34" s="34"/>
      <c r="AA34" s="33"/>
      <c r="AB34" s="224"/>
      <c r="AC34" s="135"/>
      <c r="AE34" s="21"/>
      <c r="AF34" s="21"/>
      <c r="AG34" s="21"/>
      <c r="AH34" s="36"/>
      <c r="AI34" s="21"/>
      <c r="AJ34" s="24"/>
      <c r="AK34" s="21"/>
      <c r="AL34" s="21"/>
      <c r="AM34" s="21"/>
      <c r="AN34" s="21"/>
      <c r="AO34" s="21"/>
      <c r="AR34" s="34"/>
      <c r="AS34" s="33"/>
      <c r="AT34" s="224"/>
      <c r="AU34" s="135"/>
      <c r="AW34" s="21"/>
      <c r="AX34" s="21"/>
      <c r="AY34" s="21"/>
      <c r="AZ34" s="36"/>
      <c r="BA34" s="21"/>
      <c r="BB34" s="24"/>
      <c r="BC34" s="21"/>
      <c r="BD34" s="21"/>
      <c r="BE34" s="21"/>
      <c r="BM34" s="21"/>
      <c r="BN34" s="24"/>
      <c r="BP34" s="49"/>
    </row>
    <row r="35" spans="1:68" ht="12.75">
      <c r="A35">
        <v>33</v>
      </c>
      <c r="C35" t="s">
        <v>11</v>
      </c>
      <c r="D35" s="21"/>
      <c r="E35" s="21"/>
      <c r="F35" s="135"/>
      <c r="H35" s="34"/>
      <c r="I35" s="33"/>
      <c r="J35" s="226">
        <f aca="true" t="shared" si="28" ref="J35:J43">IF(H$4+$E$10&gt;1,1,0)</f>
        <v>0</v>
      </c>
      <c r="K35" s="135"/>
      <c r="M35" s="21"/>
      <c r="N35" s="21">
        <f aca="true" t="shared" si="29" ref="N35:N43">SUM(F35:L35)</f>
        <v>0</v>
      </c>
      <c r="O35" s="21">
        <f aca="true" t="shared" si="30" ref="O35:O43">IF(AND(P$10&gt;0,$N35&gt;0),1,0)</f>
        <v>0</v>
      </c>
      <c r="P35" s="36">
        <f>(Q35)*(0.5+(P10/30))*O35</f>
        <v>0</v>
      </c>
      <c r="Q35" s="21">
        <v>420</v>
      </c>
      <c r="R35" s="24">
        <f aca="true" t="shared" si="31" ref="R35:R43">P35/50</f>
        <v>0</v>
      </c>
      <c r="S35" s="21">
        <f>O35*5</f>
        <v>0</v>
      </c>
      <c r="T35" s="21">
        <f>O35*2</f>
        <v>0</v>
      </c>
      <c r="U35" s="21"/>
      <c r="V35" s="21"/>
      <c r="W35" s="21"/>
      <c r="Z35" s="34"/>
      <c r="AA35" s="33"/>
      <c r="AB35" s="226">
        <f aca="true" t="shared" si="32" ref="AB35:AB43">IF(Z$4+$E$10&gt;1,1,0)</f>
        <v>0</v>
      </c>
      <c r="AC35" s="135"/>
      <c r="AE35" s="21"/>
      <c r="AF35" s="21">
        <f aca="true" t="shared" si="33" ref="AF35:AF43">SUM(X35:AD35)</f>
        <v>0</v>
      </c>
      <c r="AG35" s="21">
        <f aca="true" t="shared" si="34" ref="AG35:AG43">IF(AND(AH$10&gt;0,$N35&gt;0),1,0)</f>
        <v>0</v>
      </c>
      <c r="AH35" s="36">
        <f>(AI35)*(0.5+(AH10/30))*AG35</f>
        <v>0</v>
      </c>
      <c r="AI35" s="21">
        <v>420</v>
      </c>
      <c r="AJ35" s="24">
        <f aca="true" t="shared" si="35" ref="AJ35:AJ43">AH35/50</f>
        <v>0</v>
      </c>
      <c r="AK35" s="21">
        <f>AG35*5</f>
        <v>0</v>
      </c>
      <c r="AL35" s="21">
        <f>AG35*2</f>
        <v>0</v>
      </c>
      <c r="AM35" s="21"/>
      <c r="AN35" s="21"/>
      <c r="AO35" s="21"/>
      <c r="AR35" s="34"/>
      <c r="AS35" s="33"/>
      <c r="AT35" s="226">
        <f aca="true" t="shared" si="36" ref="AT35:AT43">IF(AR$4+$E$10&gt;1,1,0)</f>
        <v>0</v>
      </c>
      <c r="AU35" s="135"/>
      <c r="AW35" s="21"/>
      <c r="AX35" s="21">
        <f aca="true" t="shared" si="37" ref="AX35:AX43">SUM(AP35:AV35)</f>
        <v>0</v>
      </c>
      <c r="AY35" s="21">
        <f aca="true" t="shared" si="38" ref="AY35:AY43">IF(AND(AZ$10&gt;0,$N35&gt;0),1,0)</f>
        <v>0</v>
      </c>
      <c r="AZ35" s="36">
        <f>(BA35)*(0.5+(AZ10/30))*AY35</f>
        <v>0</v>
      </c>
      <c r="BA35" s="21">
        <v>420</v>
      </c>
      <c r="BB35" s="24">
        <f aca="true" t="shared" si="39" ref="BB35:BB43">AZ35/50</f>
        <v>0</v>
      </c>
      <c r="BC35" s="21">
        <f>AY35*5</f>
        <v>0</v>
      </c>
      <c r="BD35" s="21">
        <f>AY35*2</f>
        <v>0</v>
      </c>
      <c r="BE35" s="21"/>
      <c r="BM35" s="21"/>
      <c r="BN35" s="24">
        <f aca="true" t="shared" si="40" ref="BN35:BN43">R35+AJ35+BB35</f>
        <v>0</v>
      </c>
      <c r="BO35">
        <f aca="true" t="shared" si="41" ref="BO35:BO43">O35+AG35+AY35</f>
        <v>0</v>
      </c>
      <c r="BP35" s="49">
        <f aca="true" t="shared" si="42" ref="BP35:BP43">P35+AH35+AZ35</f>
        <v>0</v>
      </c>
    </row>
    <row r="36" spans="1:68" ht="12.75">
      <c r="A36">
        <v>34</v>
      </c>
      <c r="C36" t="s">
        <v>12</v>
      </c>
      <c r="D36" s="21"/>
      <c r="E36" s="21"/>
      <c r="F36" s="135"/>
      <c r="H36" s="34"/>
      <c r="I36" s="33"/>
      <c r="J36" s="226">
        <f t="shared" si="28"/>
        <v>0</v>
      </c>
      <c r="K36" s="135"/>
      <c r="M36" s="21"/>
      <c r="N36" s="21">
        <f t="shared" si="29"/>
        <v>0</v>
      </c>
      <c r="O36" s="21">
        <f t="shared" si="30"/>
        <v>0</v>
      </c>
      <c r="P36" s="36">
        <f>Q36*O36</f>
        <v>0</v>
      </c>
      <c r="Q36" s="21">
        <v>20</v>
      </c>
      <c r="R36" s="24">
        <f t="shared" si="31"/>
        <v>0</v>
      </c>
      <c r="S36" s="21">
        <f>O36*1</f>
        <v>0</v>
      </c>
      <c r="T36" s="21">
        <f>O36*2</f>
        <v>0</v>
      </c>
      <c r="U36" s="21"/>
      <c r="V36" s="21"/>
      <c r="W36" s="21"/>
      <c r="Z36" s="34"/>
      <c r="AA36" s="33"/>
      <c r="AB36" s="226">
        <f t="shared" si="32"/>
        <v>0</v>
      </c>
      <c r="AC36" s="135"/>
      <c r="AE36" s="21"/>
      <c r="AF36" s="21">
        <f t="shared" si="33"/>
        <v>0</v>
      </c>
      <c r="AG36" s="21">
        <f t="shared" si="34"/>
        <v>0</v>
      </c>
      <c r="AH36" s="36">
        <f>AI36*AG36</f>
        <v>0</v>
      </c>
      <c r="AI36" s="21">
        <v>20</v>
      </c>
      <c r="AJ36" s="24">
        <f t="shared" si="35"/>
        <v>0</v>
      </c>
      <c r="AK36" s="21">
        <f>AG36*1</f>
        <v>0</v>
      </c>
      <c r="AL36" s="21">
        <f>AG36*2</f>
        <v>0</v>
      </c>
      <c r="AM36" s="21"/>
      <c r="AN36" s="21"/>
      <c r="AO36" s="21"/>
      <c r="AR36" s="34"/>
      <c r="AS36" s="33"/>
      <c r="AT36" s="226">
        <f t="shared" si="36"/>
        <v>0</v>
      </c>
      <c r="AU36" s="135"/>
      <c r="AW36" s="21"/>
      <c r="AX36" s="21">
        <f t="shared" si="37"/>
        <v>0</v>
      </c>
      <c r="AY36" s="21">
        <f t="shared" si="38"/>
        <v>0</v>
      </c>
      <c r="AZ36" s="36">
        <f>BA36*AY36</f>
        <v>0</v>
      </c>
      <c r="BA36" s="21">
        <v>20</v>
      </c>
      <c r="BB36" s="24">
        <f t="shared" si="39"/>
        <v>0</v>
      </c>
      <c r="BC36" s="21">
        <f>AY36*1</f>
        <v>0</v>
      </c>
      <c r="BD36" s="21">
        <f>AY36*2</f>
        <v>0</v>
      </c>
      <c r="BE36" s="21"/>
      <c r="BM36" s="21"/>
      <c r="BN36" s="24">
        <f t="shared" si="40"/>
        <v>0</v>
      </c>
      <c r="BO36">
        <f t="shared" si="41"/>
        <v>0</v>
      </c>
      <c r="BP36" s="49">
        <f t="shared" si="42"/>
        <v>0</v>
      </c>
    </row>
    <row r="37" spans="1:68" ht="12.75">
      <c r="A37">
        <v>35</v>
      </c>
      <c r="C37" t="s">
        <v>13</v>
      </c>
      <c r="D37" s="21"/>
      <c r="E37" s="21"/>
      <c r="F37" s="135"/>
      <c r="H37" s="34"/>
      <c r="I37" s="33"/>
      <c r="J37" s="226">
        <f t="shared" si="28"/>
        <v>0</v>
      </c>
      <c r="K37" s="135"/>
      <c r="M37" s="21"/>
      <c r="N37" s="21">
        <f t="shared" si="29"/>
        <v>0</v>
      </c>
      <c r="O37" s="21">
        <f t="shared" si="30"/>
        <v>0</v>
      </c>
      <c r="P37" s="36">
        <f>(Q37)*(0.5+(P10/30))*O37</f>
        <v>0</v>
      </c>
      <c r="Q37" s="21">
        <v>45</v>
      </c>
      <c r="R37" s="24">
        <f t="shared" si="31"/>
        <v>0</v>
      </c>
      <c r="S37" s="21">
        <f>O37*2</f>
        <v>0</v>
      </c>
      <c r="T37" s="21">
        <f>O37*2</f>
        <v>0</v>
      </c>
      <c r="U37" s="21"/>
      <c r="V37" s="21"/>
      <c r="W37" s="21"/>
      <c r="Z37" s="34"/>
      <c r="AA37" s="33"/>
      <c r="AB37" s="226">
        <f t="shared" si="32"/>
        <v>0</v>
      </c>
      <c r="AC37" s="135"/>
      <c r="AE37" s="21"/>
      <c r="AF37" s="21">
        <f t="shared" si="33"/>
        <v>0</v>
      </c>
      <c r="AG37" s="21">
        <f t="shared" si="34"/>
        <v>0</v>
      </c>
      <c r="AH37" s="36">
        <f>(AI37)*(0.5+(AH10/30))*AG37</f>
        <v>0</v>
      </c>
      <c r="AI37" s="21">
        <v>45</v>
      </c>
      <c r="AJ37" s="24">
        <f t="shared" si="35"/>
        <v>0</v>
      </c>
      <c r="AK37" s="21">
        <f>AG37*2</f>
        <v>0</v>
      </c>
      <c r="AL37" s="21">
        <f>AG37*2</f>
        <v>0</v>
      </c>
      <c r="AM37" s="21"/>
      <c r="AN37" s="21"/>
      <c r="AO37" s="21"/>
      <c r="AR37" s="34"/>
      <c r="AS37" s="33"/>
      <c r="AT37" s="226">
        <f t="shared" si="36"/>
        <v>0</v>
      </c>
      <c r="AU37" s="135"/>
      <c r="AW37" s="21"/>
      <c r="AX37" s="21">
        <f t="shared" si="37"/>
        <v>0</v>
      </c>
      <c r="AY37" s="21">
        <f t="shared" si="38"/>
        <v>0</v>
      </c>
      <c r="AZ37" s="36">
        <f>(BA37)*(0.5+(AZ10/30))*AY37</f>
        <v>0</v>
      </c>
      <c r="BA37" s="21">
        <v>45</v>
      </c>
      <c r="BB37" s="24">
        <f t="shared" si="39"/>
        <v>0</v>
      </c>
      <c r="BC37" s="21">
        <f>AY37*2</f>
        <v>0</v>
      </c>
      <c r="BD37" s="21">
        <f>AY37*2</f>
        <v>0</v>
      </c>
      <c r="BE37" s="21"/>
      <c r="BM37" s="21"/>
      <c r="BN37" s="24">
        <f t="shared" si="40"/>
        <v>0</v>
      </c>
      <c r="BO37">
        <f t="shared" si="41"/>
        <v>0</v>
      </c>
      <c r="BP37" s="49">
        <f t="shared" si="42"/>
        <v>0</v>
      </c>
    </row>
    <row r="38" spans="1:68" ht="12.75">
      <c r="A38">
        <v>36</v>
      </c>
      <c r="C38" t="s">
        <v>14</v>
      </c>
      <c r="D38" s="21"/>
      <c r="E38" s="21"/>
      <c r="F38" s="135"/>
      <c r="H38" s="34"/>
      <c r="I38" s="33"/>
      <c r="J38" s="226">
        <f t="shared" si="28"/>
        <v>0</v>
      </c>
      <c r="K38" s="135"/>
      <c r="M38" s="21"/>
      <c r="N38" s="21">
        <f t="shared" si="29"/>
        <v>0</v>
      </c>
      <c r="O38" s="21">
        <f t="shared" si="30"/>
        <v>0</v>
      </c>
      <c r="P38" s="36">
        <f>(Q38)*(0.5+(P10/30))*O38</f>
        <v>0</v>
      </c>
      <c r="Q38" s="21">
        <v>120</v>
      </c>
      <c r="R38" s="24">
        <f t="shared" si="31"/>
        <v>0</v>
      </c>
      <c r="S38" s="21">
        <f>O38*3</f>
        <v>0</v>
      </c>
      <c r="T38" s="21">
        <f>O38*2</f>
        <v>0</v>
      </c>
      <c r="U38" s="21"/>
      <c r="V38" s="21"/>
      <c r="W38" s="21"/>
      <c r="Z38" s="34"/>
      <c r="AA38" s="33"/>
      <c r="AB38" s="226">
        <f t="shared" si="32"/>
        <v>0</v>
      </c>
      <c r="AC38" s="135"/>
      <c r="AE38" s="21"/>
      <c r="AF38" s="21">
        <f t="shared" si="33"/>
        <v>0</v>
      </c>
      <c r="AG38" s="21">
        <f t="shared" si="34"/>
        <v>0</v>
      </c>
      <c r="AH38" s="36">
        <f>(AI38)*(0.5+(AH10/30))*AG38</f>
        <v>0</v>
      </c>
      <c r="AI38" s="21">
        <v>120</v>
      </c>
      <c r="AJ38" s="24">
        <f t="shared" si="35"/>
        <v>0</v>
      </c>
      <c r="AK38" s="21">
        <f>AG38*3</f>
        <v>0</v>
      </c>
      <c r="AL38" s="21">
        <f>AG38*2</f>
        <v>0</v>
      </c>
      <c r="AM38" s="21"/>
      <c r="AN38" s="21"/>
      <c r="AO38" s="21"/>
      <c r="AR38" s="34"/>
      <c r="AS38" s="33"/>
      <c r="AT38" s="226">
        <f t="shared" si="36"/>
        <v>0</v>
      </c>
      <c r="AU38" s="135"/>
      <c r="AW38" s="21"/>
      <c r="AX38" s="21">
        <f t="shared" si="37"/>
        <v>0</v>
      </c>
      <c r="AY38" s="21">
        <f t="shared" si="38"/>
        <v>0</v>
      </c>
      <c r="AZ38" s="36">
        <f>(BA38)*(0.5+(AZ10/30))*AY38</f>
        <v>0</v>
      </c>
      <c r="BA38" s="21">
        <v>120</v>
      </c>
      <c r="BB38" s="24">
        <f t="shared" si="39"/>
        <v>0</v>
      </c>
      <c r="BC38" s="21">
        <f>AY38*3</f>
        <v>0</v>
      </c>
      <c r="BD38" s="21">
        <f>AY38*2</f>
        <v>0</v>
      </c>
      <c r="BE38" s="21"/>
      <c r="BM38" s="21"/>
      <c r="BN38" s="24">
        <f t="shared" si="40"/>
        <v>0</v>
      </c>
      <c r="BO38">
        <f t="shared" si="41"/>
        <v>0</v>
      </c>
      <c r="BP38" s="49">
        <f t="shared" si="42"/>
        <v>0</v>
      </c>
    </row>
    <row r="39" spans="1:68" ht="12.75">
      <c r="A39">
        <v>37</v>
      </c>
      <c r="C39" t="s">
        <v>15</v>
      </c>
      <c r="D39" s="21"/>
      <c r="E39" s="21"/>
      <c r="F39" s="135"/>
      <c r="H39" s="34"/>
      <c r="I39" s="33"/>
      <c r="J39" s="226">
        <f t="shared" si="28"/>
        <v>0</v>
      </c>
      <c r="K39" s="135"/>
      <c r="M39" s="21"/>
      <c r="N39" s="21">
        <f t="shared" si="29"/>
        <v>0</v>
      </c>
      <c r="O39" s="21">
        <f t="shared" si="30"/>
        <v>0</v>
      </c>
      <c r="P39" s="36">
        <f>Q39*P9*O39</f>
        <v>0</v>
      </c>
      <c r="Q39" s="21">
        <v>120</v>
      </c>
      <c r="R39" s="24">
        <f t="shared" si="31"/>
        <v>0</v>
      </c>
      <c r="S39" s="21">
        <f>O39*10</f>
        <v>0</v>
      </c>
      <c r="T39" s="21">
        <f>O39*9</f>
        <v>0</v>
      </c>
      <c r="U39" s="25"/>
      <c r="V39" s="25"/>
      <c r="W39" s="21"/>
      <c r="Z39" s="34"/>
      <c r="AA39" s="33"/>
      <c r="AB39" s="226">
        <f t="shared" si="32"/>
        <v>0</v>
      </c>
      <c r="AC39" s="135"/>
      <c r="AE39" s="21"/>
      <c r="AF39" s="21">
        <f t="shared" si="33"/>
        <v>0</v>
      </c>
      <c r="AG39" s="21">
        <f t="shared" si="34"/>
        <v>0</v>
      </c>
      <c r="AH39" s="36">
        <f>AI39*AH9*AG39</f>
        <v>0</v>
      </c>
      <c r="AI39" s="21">
        <v>120</v>
      </c>
      <c r="AJ39" s="24">
        <f t="shared" si="35"/>
        <v>0</v>
      </c>
      <c r="AK39" s="21">
        <f>AG39*10</f>
        <v>0</v>
      </c>
      <c r="AL39" s="21">
        <f>AG39*9</f>
        <v>0</v>
      </c>
      <c r="AM39" s="25"/>
      <c r="AN39" s="25"/>
      <c r="AO39" s="21"/>
      <c r="AR39" s="34"/>
      <c r="AS39" s="33"/>
      <c r="AT39" s="226">
        <f t="shared" si="36"/>
        <v>0</v>
      </c>
      <c r="AU39" s="135"/>
      <c r="AW39" s="21"/>
      <c r="AX39" s="21">
        <f t="shared" si="37"/>
        <v>0</v>
      </c>
      <c r="AY39" s="21">
        <f t="shared" si="38"/>
        <v>0</v>
      </c>
      <c r="AZ39" s="36">
        <f>BA39*AZ9*AY39</f>
        <v>0</v>
      </c>
      <c r="BA39" s="21">
        <v>120</v>
      </c>
      <c r="BB39" s="24">
        <f t="shared" si="39"/>
        <v>0</v>
      </c>
      <c r="BC39" s="21">
        <f>AY39*10</f>
        <v>0</v>
      </c>
      <c r="BD39" s="21">
        <f>AY39*9</f>
        <v>0</v>
      </c>
      <c r="BE39" s="25"/>
      <c r="BM39" s="21"/>
      <c r="BN39" s="24">
        <f t="shared" si="40"/>
        <v>0</v>
      </c>
      <c r="BO39">
        <f t="shared" si="41"/>
        <v>0</v>
      </c>
      <c r="BP39" s="49">
        <f t="shared" si="42"/>
        <v>0</v>
      </c>
    </row>
    <row r="40" spans="1:68" ht="12.75">
      <c r="A40">
        <v>38</v>
      </c>
      <c r="C40" t="s">
        <v>16</v>
      </c>
      <c r="D40" s="21"/>
      <c r="E40" s="21"/>
      <c r="F40" s="135"/>
      <c r="H40" s="34"/>
      <c r="I40" s="33"/>
      <c r="J40" s="226">
        <f t="shared" si="28"/>
        <v>0</v>
      </c>
      <c r="K40" s="135"/>
      <c r="M40" s="21"/>
      <c r="N40" s="21">
        <f t="shared" si="29"/>
        <v>0</v>
      </c>
      <c r="O40" s="21">
        <f t="shared" si="30"/>
        <v>0</v>
      </c>
      <c r="P40" s="36">
        <f>Q40*P9*O40</f>
        <v>0</v>
      </c>
      <c r="Q40" s="21">
        <v>180</v>
      </c>
      <c r="R40" s="24">
        <f t="shared" si="31"/>
        <v>0</v>
      </c>
      <c r="S40" s="21">
        <f>O40*7</f>
        <v>0</v>
      </c>
      <c r="T40" s="21">
        <f>O40*20</f>
        <v>0</v>
      </c>
      <c r="U40" s="25"/>
      <c r="V40" s="25"/>
      <c r="W40" s="21"/>
      <c r="Z40" s="34"/>
      <c r="AA40" s="33"/>
      <c r="AB40" s="226">
        <f t="shared" si="32"/>
        <v>0</v>
      </c>
      <c r="AC40" s="135"/>
      <c r="AE40" s="21"/>
      <c r="AF40" s="21">
        <f t="shared" si="33"/>
        <v>0</v>
      </c>
      <c r="AG40" s="21">
        <f t="shared" si="34"/>
        <v>0</v>
      </c>
      <c r="AH40" s="36">
        <f>AI40*AH9*AG40</f>
        <v>0</v>
      </c>
      <c r="AI40" s="21">
        <v>180</v>
      </c>
      <c r="AJ40" s="24">
        <f t="shared" si="35"/>
        <v>0</v>
      </c>
      <c r="AK40" s="21">
        <f>AG40*7</f>
        <v>0</v>
      </c>
      <c r="AL40" s="21">
        <f>AG40*20</f>
        <v>0</v>
      </c>
      <c r="AM40" s="25"/>
      <c r="AN40" s="25"/>
      <c r="AO40" s="21"/>
      <c r="AR40" s="34"/>
      <c r="AS40" s="33"/>
      <c r="AT40" s="226">
        <f t="shared" si="36"/>
        <v>0</v>
      </c>
      <c r="AU40" s="135"/>
      <c r="AW40" s="21"/>
      <c r="AX40" s="21">
        <f t="shared" si="37"/>
        <v>0</v>
      </c>
      <c r="AY40" s="21">
        <f t="shared" si="38"/>
        <v>0</v>
      </c>
      <c r="AZ40" s="36">
        <f>BA40*AZ9*AY40</f>
        <v>0</v>
      </c>
      <c r="BA40" s="21">
        <v>180</v>
      </c>
      <c r="BB40" s="24">
        <f t="shared" si="39"/>
        <v>0</v>
      </c>
      <c r="BC40" s="21">
        <f>AY40*7</f>
        <v>0</v>
      </c>
      <c r="BD40" s="21">
        <f>AY40*20</f>
        <v>0</v>
      </c>
      <c r="BE40" s="25"/>
      <c r="BM40" s="21"/>
      <c r="BN40" s="24">
        <f t="shared" si="40"/>
        <v>0</v>
      </c>
      <c r="BO40">
        <f t="shared" si="41"/>
        <v>0</v>
      </c>
      <c r="BP40" s="49">
        <f t="shared" si="42"/>
        <v>0</v>
      </c>
    </row>
    <row r="41" spans="1:68" ht="12.75">
      <c r="A41">
        <v>39</v>
      </c>
      <c r="C41" t="s">
        <v>70</v>
      </c>
      <c r="D41" s="21"/>
      <c r="E41" s="21"/>
      <c r="F41" s="135"/>
      <c r="H41" s="34"/>
      <c r="I41" s="33"/>
      <c r="J41" s="226">
        <f t="shared" si="28"/>
        <v>0</v>
      </c>
      <c r="K41" s="135"/>
      <c r="M41" s="21"/>
      <c r="N41" s="21">
        <f t="shared" si="29"/>
        <v>0</v>
      </c>
      <c r="O41" s="21">
        <f t="shared" si="30"/>
        <v>0</v>
      </c>
      <c r="P41" s="36">
        <f>Q41*P9*O41</f>
        <v>0</v>
      </c>
      <c r="Q41" s="21">
        <v>90</v>
      </c>
      <c r="R41" s="24">
        <f t="shared" si="31"/>
        <v>0</v>
      </c>
      <c r="S41" s="21">
        <f>O41*3</f>
        <v>0</v>
      </c>
      <c r="T41" s="21">
        <f>O41*8</f>
        <v>0</v>
      </c>
      <c r="U41" s="25"/>
      <c r="V41" s="25"/>
      <c r="W41" s="21"/>
      <c r="Z41" s="34"/>
      <c r="AA41" s="33"/>
      <c r="AB41" s="226">
        <f t="shared" si="32"/>
        <v>0</v>
      </c>
      <c r="AC41" s="135"/>
      <c r="AE41" s="21"/>
      <c r="AF41" s="21">
        <f t="shared" si="33"/>
        <v>0</v>
      </c>
      <c r="AG41" s="21">
        <f t="shared" si="34"/>
        <v>0</v>
      </c>
      <c r="AH41" s="36">
        <f>AI41*AH9*AG41</f>
        <v>0</v>
      </c>
      <c r="AI41" s="21">
        <v>90</v>
      </c>
      <c r="AJ41" s="24">
        <f t="shared" si="35"/>
        <v>0</v>
      </c>
      <c r="AK41" s="21">
        <f>AG41*3</f>
        <v>0</v>
      </c>
      <c r="AL41" s="21">
        <f>AG41*8</f>
        <v>0</v>
      </c>
      <c r="AM41" s="25"/>
      <c r="AN41" s="25"/>
      <c r="AO41" s="21"/>
      <c r="AR41" s="34"/>
      <c r="AS41" s="33"/>
      <c r="AT41" s="226">
        <f t="shared" si="36"/>
        <v>0</v>
      </c>
      <c r="AU41" s="135"/>
      <c r="AW41" s="21"/>
      <c r="AX41" s="21">
        <f t="shared" si="37"/>
        <v>0</v>
      </c>
      <c r="AY41" s="21">
        <f t="shared" si="38"/>
        <v>0</v>
      </c>
      <c r="AZ41" s="36">
        <f>BA41*AZ9*AY41</f>
        <v>0</v>
      </c>
      <c r="BA41" s="21">
        <v>90</v>
      </c>
      <c r="BB41" s="24">
        <f t="shared" si="39"/>
        <v>0</v>
      </c>
      <c r="BC41" s="21">
        <f>AY41*3</f>
        <v>0</v>
      </c>
      <c r="BD41" s="21">
        <f>AY41*8</f>
        <v>0</v>
      </c>
      <c r="BE41" s="25"/>
      <c r="BM41" s="21"/>
      <c r="BN41" s="24">
        <f t="shared" si="40"/>
        <v>0</v>
      </c>
      <c r="BO41">
        <f t="shared" si="41"/>
        <v>0</v>
      </c>
      <c r="BP41" s="49">
        <f t="shared" si="42"/>
        <v>0</v>
      </c>
    </row>
    <row r="42" spans="1:68" ht="12.75">
      <c r="A42">
        <v>40</v>
      </c>
      <c r="C42" t="s">
        <v>62</v>
      </c>
      <c r="D42" s="21"/>
      <c r="E42" s="21"/>
      <c r="F42" s="135"/>
      <c r="H42" s="34"/>
      <c r="I42" s="33"/>
      <c r="J42" s="226">
        <f t="shared" si="28"/>
        <v>0</v>
      </c>
      <c r="K42" s="135"/>
      <c r="M42" s="21"/>
      <c r="N42" s="21">
        <f t="shared" si="29"/>
        <v>0</v>
      </c>
      <c r="O42" s="21">
        <f t="shared" si="30"/>
        <v>0</v>
      </c>
      <c r="P42" s="36">
        <f>Q42*O42</f>
        <v>0</v>
      </c>
      <c r="Q42" s="21">
        <v>30</v>
      </c>
      <c r="R42" s="24">
        <f t="shared" si="31"/>
        <v>0</v>
      </c>
      <c r="S42" s="21">
        <f>O42*1</f>
        <v>0</v>
      </c>
      <c r="T42" s="21">
        <f>O42*6</f>
        <v>0</v>
      </c>
      <c r="U42" s="21"/>
      <c r="V42" s="21"/>
      <c r="W42" s="21"/>
      <c r="Z42" s="34"/>
      <c r="AA42" s="33"/>
      <c r="AB42" s="226">
        <f t="shared" si="32"/>
        <v>0</v>
      </c>
      <c r="AC42" s="135"/>
      <c r="AE42" s="21"/>
      <c r="AF42" s="21">
        <f t="shared" si="33"/>
        <v>0</v>
      </c>
      <c r="AG42" s="21">
        <f t="shared" si="34"/>
        <v>0</v>
      </c>
      <c r="AH42" s="36">
        <f>AI42*AG42</f>
        <v>0</v>
      </c>
      <c r="AI42" s="21">
        <v>30</v>
      </c>
      <c r="AJ42" s="24">
        <f t="shared" si="35"/>
        <v>0</v>
      </c>
      <c r="AK42" s="21">
        <f>AG42*1</f>
        <v>0</v>
      </c>
      <c r="AL42" s="21">
        <f>AG42*6</f>
        <v>0</v>
      </c>
      <c r="AM42" s="21"/>
      <c r="AN42" s="21"/>
      <c r="AO42" s="21"/>
      <c r="AR42" s="34"/>
      <c r="AS42" s="33"/>
      <c r="AT42" s="226">
        <f t="shared" si="36"/>
        <v>0</v>
      </c>
      <c r="AU42" s="135"/>
      <c r="AW42" s="21"/>
      <c r="AX42" s="21">
        <f t="shared" si="37"/>
        <v>0</v>
      </c>
      <c r="AY42" s="21">
        <f t="shared" si="38"/>
        <v>0</v>
      </c>
      <c r="AZ42" s="36">
        <f>BA42*AY42</f>
        <v>0</v>
      </c>
      <c r="BA42" s="21">
        <v>30</v>
      </c>
      <c r="BB42" s="24">
        <f t="shared" si="39"/>
        <v>0</v>
      </c>
      <c r="BC42" s="21">
        <f>AY42*1</f>
        <v>0</v>
      </c>
      <c r="BD42" s="21">
        <f>AY42*6</f>
        <v>0</v>
      </c>
      <c r="BE42" s="21"/>
      <c r="BM42" s="21"/>
      <c r="BN42" s="24">
        <f t="shared" si="40"/>
        <v>0</v>
      </c>
      <c r="BO42">
        <f t="shared" si="41"/>
        <v>0</v>
      </c>
      <c r="BP42" s="49">
        <f t="shared" si="42"/>
        <v>0</v>
      </c>
    </row>
    <row r="43" spans="1:68" ht="12.75">
      <c r="A43">
        <v>41</v>
      </c>
      <c r="C43" t="s">
        <v>17</v>
      </c>
      <c r="D43" s="21"/>
      <c r="E43" s="21"/>
      <c r="F43" s="135"/>
      <c r="H43" s="34"/>
      <c r="I43" s="33"/>
      <c r="J43" s="226">
        <f t="shared" si="28"/>
        <v>0</v>
      </c>
      <c r="K43" s="135"/>
      <c r="M43" s="21"/>
      <c r="N43" s="21">
        <f t="shared" si="29"/>
        <v>0</v>
      </c>
      <c r="O43" s="21">
        <f t="shared" si="30"/>
        <v>0</v>
      </c>
      <c r="P43" s="36">
        <f>Q43*O43</f>
        <v>0</v>
      </c>
      <c r="Q43" s="21">
        <v>30</v>
      </c>
      <c r="R43" s="24">
        <f t="shared" si="31"/>
        <v>0</v>
      </c>
      <c r="S43" s="21">
        <f>O43*1</f>
        <v>0</v>
      </c>
      <c r="T43" s="21">
        <f>O43*1</f>
        <v>0</v>
      </c>
      <c r="U43" s="21"/>
      <c r="V43" s="21"/>
      <c r="W43" s="21"/>
      <c r="Z43" s="34"/>
      <c r="AA43" s="33"/>
      <c r="AB43" s="226">
        <f t="shared" si="32"/>
        <v>0</v>
      </c>
      <c r="AC43" s="135"/>
      <c r="AE43" s="21"/>
      <c r="AF43" s="21">
        <f t="shared" si="33"/>
        <v>0</v>
      </c>
      <c r="AG43" s="21">
        <f t="shared" si="34"/>
        <v>0</v>
      </c>
      <c r="AH43" s="36">
        <f>AI43*AG43</f>
        <v>0</v>
      </c>
      <c r="AI43" s="21">
        <v>30</v>
      </c>
      <c r="AJ43" s="24">
        <f t="shared" si="35"/>
        <v>0</v>
      </c>
      <c r="AK43" s="21">
        <f>AG43*1</f>
        <v>0</v>
      </c>
      <c r="AL43" s="21">
        <f>AG43*1</f>
        <v>0</v>
      </c>
      <c r="AM43" s="21"/>
      <c r="AN43" s="21"/>
      <c r="AO43" s="21"/>
      <c r="AR43" s="34"/>
      <c r="AS43" s="33"/>
      <c r="AT43" s="226">
        <f t="shared" si="36"/>
        <v>0</v>
      </c>
      <c r="AU43" s="135"/>
      <c r="AW43" s="21"/>
      <c r="AX43" s="21">
        <f t="shared" si="37"/>
        <v>0</v>
      </c>
      <c r="AY43" s="21">
        <f t="shared" si="38"/>
        <v>0</v>
      </c>
      <c r="AZ43" s="36">
        <f>BA43*AY43</f>
        <v>0</v>
      </c>
      <c r="BA43" s="21">
        <v>30</v>
      </c>
      <c r="BB43" s="24">
        <f t="shared" si="39"/>
        <v>0</v>
      </c>
      <c r="BC43" s="21">
        <f>AY43*1</f>
        <v>0</v>
      </c>
      <c r="BD43" s="21">
        <f>AY43*1</f>
        <v>0</v>
      </c>
      <c r="BE43" s="21"/>
      <c r="BM43" s="21"/>
      <c r="BN43" s="24">
        <f t="shared" si="40"/>
        <v>0</v>
      </c>
      <c r="BO43">
        <f t="shared" si="41"/>
        <v>0</v>
      </c>
      <c r="BP43" s="49">
        <f t="shared" si="42"/>
        <v>0</v>
      </c>
    </row>
    <row r="44" spans="4:68" ht="12.75">
      <c r="D44" s="21"/>
      <c r="E44" s="21"/>
      <c r="F44" s="135"/>
      <c r="H44" s="34"/>
      <c r="I44" s="33"/>
      <c r="J44" s="224"/>
      <c r="K44" s="135"/>
      <c r="M44" s="21"/>
      <c r="N44" s="21"/>
      <c r="O44" s="21"/>
      <c r="P44" s="36"/>
      <c r="Q44" s="21"/>
      <c r="R44" s="24"/>
      <c r="S44" s="21"/>
      <c r="T44" s="21"/>
      <c r="U44" s="21"/>
      <c r="V44" s="21"/>
      <c r="W44" s="21"/>
      <c r="Z44" s="34"/>
      <c r="AA44" s="33"/>
      <c r="AB44" s="224"/>
      <c r="AC44" s="135"/>
      <c r="AE44" s="21"/>
      <c r="AF44" s="21"/>
      <c r="AG44" s="21"/>
      <c r="AH44" s="36"/>
      <c r="AI44" s="21"/>
      <c r="AJ44" s="24"/>
      <c r="AK44" s="21"/>
      <c r="AL44" s="21"/>
      <c r="AM44" s="21"/>
      <c r="AN44" s="21"/>
      <c r="AO44" s="21"/>
      <c r="AR44" s="34"/>
      <c r="AS44" s="33"/>
      <c r="AT44" s="224"/>
      <c r="AU44" s="135"/>
      <c r="AW44" s="21"/>
      <c r="AX44" s="21"/>
      <c r="AY44" s="21"/>
      <c r="AZ44" s="36"/>
      <c r="BA44" s="21"/>
      <c r="BB44" s="24"/>
      <c r="BC44" s="21"/>
      <c r="BD44" s="21"/>
      <c r="BE44" s="21"/>
      <c r="BM44" s="21"/>
      <c r="BN44" s="24"/>
      <c r="BP44" s="49"/>
    </row>
    <row r="45" spans="1:68" ht="12.75">
      <c r="A45">
        <v>42</v>
      </c>
      <c r="C45" t="s">
        <v>18</v>
      </c>
      <c r="D45" s="21"/>
      <c r="E45" s="21"/>
      <c r="F45" s="140"/>
      <c r="H45" s="138"/>
      <c r="I45" s="139"/>
      <c r="J45" s="226">
        <f>IF(H$4+$E$10&gt;1,1,0)</f>
        <v>0</v>
      </c>
      <c r="K45" s="140"/>
      <c r="M45" s="21"/>
      <c r="N45" s="21">
        <f aca="true" t="shared" si="43" ref="N45:N52">SUM(F45:L45)</f>
        <v>0</v>
      </c>
      <c r="O45" s="21">
        <f aca="true" t="shared" si="44" ref="O45:O52">IF(AND(P$10&gt;0,$N45&gt;0),1,0)</f>
        <v>0</v>
      </c>
      <c r="P45" s="44">
        <f>Q45*P9*P8*O45</f>
        <v>0</v>
      </c>
      <c r="Q45" s="21">
        <v>120</v>
      </c>
      <c r="R45" s="24">
        <f aca="true" t="shared" si="45" ref="R45:R52">P45/50</f>
        <v>0</v>
      </c>
      <c r="S45" s="21">
        <f>O45*2</f>
        <v>0</v>
      </c>
      <c r="T45" s="23">
        <f>O45*10*P9</f>
        <v>0</v>
      </c>
      <c r="U45" s="25"/>
      <c r="V45" s="25"/>
      <c r="W45" s="21"/>
      <c r="Z45" s="138"/>
      <c r="AA45" s="139"/>
      <c r="AB45" s="226">
        <f>IF(Z$4+$E$10&gt;1,1,0)</f>
        <v>0</v>
      </c>
      <c r="AC45" s="140"/>
      <c r="AE45" s="21"/>
      <c r="AF45" s="21">
        <f aca="true" t="shared" si="46" ref="AF45:AF52">SUM(X45:AD45)</f>
        <v>0</v>
      </c>
      <c r="AG45" s="21">
        <f aca="true" t="shared" si="47" ref="AG45:AG52">IF(AND(AH$10&gt;0,$N45&gt;0),1,0)</f>
        <v>0</v>
      </c>
      <c r="AH45" s="44">
        <f>AI45*AH9*AH8*AG45</f>
        <v>0</v>
      </c>
      <c r="AI45" s="21">
        <v>120</v>
      </c>
      <c r="AJ45" s="24">
        <f aca="true" t="shared" si="48" ref="AJ45:AJ52">AH45/50</f>
        <v>0</v>
      </c>
      <c r="AK45" s="21">
        <f>AG45*2</f>
        <v>0</v>
      </c>
      <c r="AL45" s="23">
        <f>AG45*10*AH9</f>
        <v>0</v>
      </c>
      <c r="AM45" s="25"/>
      <c r="AN45" s="25"/>
      <c r="AO45" s="21"/>
      <c r="AR45" s="138"/>
      <c r="AS45" s="139"/>
      <c r="AT45" s="226">
        <f>IF(AR$4+$E$10&gt;1,1,0)</f>
        <v>0</v>
      </c>
      <c r="AU45" s="140"/>
      <c r="AW45" s="21"/>
      <c r="AX45" s="21">
        <f aca="true" t="shared" si="49" ref="AX45:AX52">SUM(AP45:AV45)</f>
        <v>0</v>
      </c>
      <c r="AY45" s="21">
        <f aca="true" t="shared" si="50" ref="AY45:AY52">IF(AND(AZ$10&gt;0,$N45&gt;0),1,0)</f>
        <v>0</v>
      </c>
      <c r="AZ45" s="44">
        <f>BA45*AZ9*AZ8*AY45</f>
        <v>0</v>
      </c>
      <c r="BA45" s="21">
        <v>120</v>
      </c>
      <c r="BB45" s="24">
        <f aca="true" t="shared" si="51" ref="BB45:BB52">AZ45/50</f>
        <v>0</v>
      </c>
      <c r="BC45" s="21">
        <f>AY45*2</f>
        <v>0</v>
      </c>
      <c r="BD45" s="23">
        <f>AY45*10*AZ9</f>
        <v>0</v>
      </c>
      <c r="BE45" s="25"/>
      <c r="BM45" s="21"/>
      <c r="BN45" s="24">
        <f aca="true" t="shared" si="52" ref="BN45:BN52">R45+AJ45+BB45</f>
        <v>0</v>
      </c>
      <c r="BO45">
        <f aca="true" t="shared" si="53" ref="BO45:BP52">O45+AG45+AY45</f>
        <v>0</v>
      </c>
      <c r="BP45" s="49">
        <f t="shared" si="53"/>
        <v>0</v>
      </c>
    </row>
    <row r="46" spans="1:68" ht="12.75">
      <c r="A46">
        <v>43</v>
      </c>
      <c r="C46" t="s">
        <v>19</v>
      </c>
      <c r="D46" s="21"/>
      <c r="E46" s="21"/>
      <c r="F46" s="140"/>
      <c r="H46" s="138"/>
      <c r="I46" s="139"/>
      <c r="J46" s="226">
        <f>IF(H$4+$E$10&gt;1,1,0)</f>
        <v>0</v>
      </c>
      <c r="K46" s="140"/>
      <c r="M46" s="21"/>
      <c r="N46" s="21">
        <f t="shared" si="43"/>
        <v>0</v>
      </c>
      <c r="O46" s="21">
        <f t="shared" si="44"/>
        <v>0</v>
      </c>
      <c r="P46" s="36">
        <f>Q46*O46</f>
        <v>0</v>
      </c>
      <c r="Q46" s="21">
        <v>30</v>
      </c>
      <c r="R46" s="24">
        <f t="shared" si="45"/>
        <v>0</v>
      </c>
      <c r="S46" s="21">
        <f>O46*1</f>
        <v>0</v>
      </c>
      <c r="T46" s="21">
        <f>O46*1</f>
        <v>0</v>
      </c>
      <c r="U46" s="21"/>
      <c r="V46" s="21"/>
      <c r="W46" s="21"/>
      <c r="Z46" s="138"/>
      <c r="AA46" s="139"/>
      <c r="AB46" s="226">
        <f>IF(Z$4+$E$10&gt;1,1,0)</f>
        <v>0</v>
      </c>
      <c r="AC46" s="140"/>
      <c r="AE46" s="21"/>
      <c r="AF46" s="21">
        <f t="shared" si="46"/>
        <v>0</v>
      </c>
      <c r="AG46" s="21">
        <f t="shared" si="47"/>
        <v>0</v>
      </c>
      <c r="AH46" s="36">
        <f>AI46*AG46</f>
        <v>0</v>
      </c>
      <c r="AI46" s="21">
        <v>30</v>
      </c>
      <c r="AJ46" s="24">
        <f t="shared" si="48"/>
        <v>0</v>
      </c>
      <c r="AK46" s="21">
        <f>AG46*1</f>
        <v>0</v>
      </c>
      <c r="AL46" s="21">
        <f>AG46*1</f>
        <v>0</v>
      </c>
      <c r="AM46" s="21"/>
      <c r="AN46" s="21"/>
      <c r="AO46" s="21"/>
      <c r="AR46" s="138"/>
      <c r="AS46" s="139"/>
      <c r="AT46" s="226">
        <f>IF(AR$4+$E$10&gt;1,1,0)</f>
        <v>0</v>
      </c>
      <c r="AU46" s="140"/>
      <c r="AW46" s="21"/>
      <c r="AX46" s="21">
        <f t="shared" si="49"/>
        <v>0</v>
      </c>
      <c r="AY46" s="21">
        <f t="shared" si="50"/>
        <v>0</v>
      </c>
      <c r="AZ46" s="36">
        <f>BA46*AY46</f>
        <v>0</v>
      </c>
      <c r="BA46" s="21">
        <v>30</v>
      </c>
      <c r="BB46" s="24">
        <f t="shared" si="51"/>
        <v>0</v>
      </c>
      <c r="BC46" s="21">
        <f>AY46*1</f>
        <v>0</v>
      </c>
      <c r="BD46" s="21">
        <f>AY46*1</f>
        <v>0</v>
      </c>
      <c r="BE46" s="21"/>
      <c r="BM46" s="21"/>
      <c r="BN46" s="24">
        <f t="shared" si="52"/>
        <v>0</v>
      </c>
      <c r="BO46">
        <f t="shared" si="53"/>
        <v>0</v>
      </c>
      <c r="BP46" s="49">
        <f t="shared" si="53"/>
        <v>0</v>
      </c>
    </row>
    <row r="47" spans="1:68" ht="12.75">
      <c r="A47">
        <v>44</v>
      </c>
      <c r="C47" t="s">
        <v>20</v>
      </c>
      <c r="D47" s="21"/>
      <c r="E47" s="21"/>
      <c r="F47" s="140"/>
      <c r="H47" s="138"/>
      <c r="I47" s="139"/>
      <c r="J47" s="226">
        <f>IF(H$4+$E$10&gt;1,1,0)</f>
        <v>0</v>
      </c>
      <c r="K47" s="140"/>
      <c r="M47" s="21"/>
      <c r="N47" s="21">
        <f t="shared" si="43"/>
        <v>0</v>
      </c>
      <c r="O47" s="21">
        <f t="shared" si="44"/>
        <v>0</v>
      </c>
      <c r="P47" s="44">
        <f>Q47*P8*O47</f>
        <v>0</v>
      </c>
      <c r="Q47" s="21">
        <v>90</v>
      </c>
      <c r="R47" s="24">
        <f t="shared" si="45"/>
        <v>0</v>
      </c>
      <c r="S47" s="21">
        <f>O47*3</f>
        <v>0</v>
      </c>
      <c r="T47" s="21">
        <f>O47*5</f>
        <v>0</v>
      </c>
      <c r="U47" s="21"/>
      <c r="V47" s="21"/>
      <c r="W47" s="21"/>
      <c r="Z47" s="138"/>
      <c r="AA47" s="139"/>
      <c r="AB47" s="226">
        <f>IF(Z$4+$E$10&gt;1,1,0)</f>
        <v>0</v>
      </c>
      <c r="AC47" s="140"/>
      <c r="AE47" s="21"/>
      <c r="AF47" s="21">
        <f t="shared" si="46"/>
        <v>0</v>
      </c>
      <c r="AG47" s="21">
        <f t="shared" si="47"/>
        <v>0</v>
      </c>
      <c r="AH47" s="44">
        <f>AI47*AH8*AG47</f>
        <v>0</v>
      </c>
      <c r="AI47" s="21">
        <v>90</v>
      </c>
      <c r="AJ47" s="24">
        <f t="shared" si="48"/>
        <v>0</v>
      </c>
      <c r="AK47" s="21">
        <f>AG47*3</f>
        <v>0</v>
      </c>
      <c r="AL47" s="21">
        <f>AG47*5</f>
        <v>0</v>
      </c>
      <c r="AM47" s="21"/>
      <c r="AN47" s="21"/>
      <c r="AO47" s="21"/>
      <c r="AR47" s="138"/>
      <c r="AS47" s="139"/>
      <c r="AT47" s="226">
        <f>IF(AR$4+$E$10&gt;1,1,0)</f>
        <v>0</v>
      </c>
      <c r="AU47" s="140"/>
      <c r="AW47" s="21"/>
      <c r="AX47" s="21">
        <f t="shared" si="49"/>
        <v>0</v>
      </c>
      <c r="AY47" s="21">
        <f t="shared" si="50"/>
        <v>0</v>
      </c>
      <c r="AZ47" s="44">
        <f>BA47*AZ8*AY47</f>
        <v>0</v>
      </c>
      <c r="BA47" s="21">
        <v>90</v>
      </c>
      <c r="BB47" s="24">
        <f t="shared" si="51"/>
        <v>0</v>
      </c>
      <c r="BC47" s="21">
        <f>AY47*3</f>
        <v>0</v>
      </c>
      <c r="BD47" s="21">
        <f>AY47*5</f>
        <v>0</v>
      </c>
      <c r="BE47" s="21"/>
      <c r="BM47" s="21"/>
      <c r="BN47" s="24">
        <f t="shared" si="52"/>
        <v>0</v>
      </c>
      <c r="BO47">
        <f t="shared" si="53"/>
        <v>0</v>
      </c>
      <c r="BP47" s="49">
        <f t="shared" si="53"/>
        <v>0</v>
      </c>
    </row>
    <row r="48" spans="1:68" ht="12.75">
      <c r="A48">
        <v>45</v>
      </c>
      <c r="C48" t="s">
        <v>21</v>
      </c>
      <c r="D48" s="21"/>
      <c r="E48" s="21"/>
      <c r="F48" s="140"/>
      <c r="H48" s="138"/>
      <c r="I48" s="139"/>
      <c r="J48" s="226">
        <f>IF(H$4+$E$10&gt;1,1,0)</f>
        <v>0</v>
      </c>
      <c r="K48" s="140"/>
      <c r="M48" s="21"/>
      <c r="N48" s="21">
        <f t="shared" si="43"/>
        <v>0</v>
      </c>
      <c r="O48" s="21">
        <f t="shared" si="44"/>
        <v>0</v>
      </c>
      <c r="P48" s="44">
        <f>Q48*P8*O48</f>
        <v>0</v>
      </c>
      <c r="Q48" s="21">
        <v>30</v>
      </c>
      <c r="R48" s="24">
        <f t="shared" si="45"/>
        <v>0</v>
      </c>
      <c r="S48" s="21">
        <f>O48*1</f>
        <v>0</v>
      </c>
      <c r="T48" s="21">
        <f>O48*1</f>
        <v>0</v>
      </c>
      <c r="U48" s="21"/>
      <c r="V48" s="21"/>
      <c r="W48" s="21"/>
      <c r="Z48" s="138"/>
      <c r="AA48" s="139"/>
      <c r="AB48" s="226">
        <f>IF(Z$4+$E$10&gt;1,1,0)</f>
        <v>0</v>
      </c>
      <c r="AC48" s="140"/>
      <c r="AE48" s="21"/>
      <c r="AF48" s="21">
        <f t="shared" si="46"/>
        <v>0</v>
      </c>
      <c r="AG48" s="21">
        <f t="shared" si="47"/>
        <v>0</v>
      </c>
      <c r="AH48" s="44">
        <f>AI48*AH8*AG48</f>
        <v>0</v>
      </c>
      <c r="AI48" s="21">
        <v>30</v>
      </c>
      <c r="AJ48" s="24">
        <f t="shared" si="48"/>
        <v>0</v>
      </c>
      <c r="AK48" s="21">
        <f>AG48*1</f>
        <v>0</v>
      </c>
      <c r="AL48" s="21">
        <f>AG48*1</f>
        <v>0</v>
      </c>
      <c r="AM48" s="21"/>
      <c r="AN48" s="21"/>
      <c r="AO48" s="21"/>
      <c r="AR48" s="138"/>
      <c r="AS48" s="139"/>
      <c r="AT48" s="226">
        <f>IF(AR$4+$E$10&gt;1,1,0)</f>
        <v>0</v>
      </c>
      <c r="AU48" s="140"/>
      <c r="AW48" s="21"/>
      <c r="AX48" s="21">
        <f t="shared" si="49"/>
        <v>0</v>
      </c>
      <c r="AY48" s="21">
        <f t="shared" si="50"/>
        <v>0</v>
      </c>
      <c r="AZ48" s="44">
        <f>BA48*AZ8*AY48</f>
        <v>0</v>
      </c>
      <c r="BA48" s="21">
        <v>30</v>
      </c>
      <c r="BB48" s="24">
        <f t="shared" si="51"/>
        <v>0</v>
      </c>
      <c r="BC48" s="21">
        <f>AY48*1</f>
        <v>0</v>
      </c>
      <c r="BD48" s="21">
        <f>AY48*1</f>
        <v>0</v>
      </c>
      <c r="BE48" s="21"/>
      <c r="BM48" s="21"/>
      <c r="BN48" s="24">
        <f t="shared" si="52"/>
        <v>0</v>
      </c>
      <c r="BO48">
        <f t="shared" si="53"/>
        <v>0</v>
      </c>
      <c r="BP48" s="49">
        <f t="shared" si="53"/>
        <v>0</v>
      </c>
    </row>
    <row r="49" spans="1:68" ht="12.75">
      <c r="A49">
        <v>46</v>
      </c>
      <c r="C49" t="s">
        <v>22</v>
      </c>
      <c r="D49" s="21"/>
      <c r="E49" s="21"/>
      <c r="F49" s="140"/>
      <c r="H49" s="138"/>
      <c r="I49" s="139"/>
      <c r="J49" s="225"/>
      <c r="K49" s="140">
        <f>IF(H$5+$E$10&gt;1,1,0)</f>
        <v>0</v>
      </c>
      <c r="M49" s="21"/>
      <c r="N49" s="21">
        <f t="shared" si="43"/>
        <v>0</v>
      </c>
      <c r="O49" s="21">
        <f t="shared" si="44"/>
        <v>0</v>
      </c>
      <c r="P49" s="44">
        <f>Q49*P8*O49</f>
        <v>0</v>
      </c>
      <c r="Q49" s="21">
        <v>30</v>
      </c>
      <c r="R49" s="24">
        <f t="shared" si="45"/>
        <v>0</v>
      </c>
      <c r="S49" s="21">
        <f>O49*3</f>
        <v>0</v>
      </c>
      <c r="T49" s="21">
        <f>O49*3</f>
        <v>0</v>
      </c>
      <c r="U49" s="21"/>
      <c r="V49" s="21"/>
      <c r="W49" s="21"/>
      <c r="Z49" s="138"/>
      <c r="AA49" s="139"/>
      <c r="AB49" s="225"/>
      <c r="AC49" s="140">
        <f>IF(Z$5+$E$10&gt;1,1,0)</f>
        <v>0</v>
      </c>
      <c r="AE49" s="21"/>
      <c r="AF49" s="21">
        <f t="shared" si="46"/>
        <v>0</v>
      </c>
      <c r="AG49" s="21">
        <f t="shared" si="47"/>
        <v>0</v>
      </c>
      <c r="AH49" s="44">
        <f>AI49*AH8*AG49</f>
        <v>0</v>
      </c>
      <c r="AI49" s="21">
        <v>30</v>
      </c>
      <c r="AJ49" s="24">
        <f t="shared" si="48"/>
        <v>0</v>
      </c>
      <c r="AK49" s="21">
        <f>AG49*3</f>
        <v>0</v>
      </c>
      <c r="AL49" s="21">
        <f>AG49*3</f>
        <v>0</v>
      </c>
      <c r="AM49" s="21"/>
      <c r="AN49" s="21"/>
      <c r="AO49" s="21"/>
      <c r="AR49" s="138"/>
      <c r="AS49" s="139"/>
      <c r="AT49" s="225"/>
      <c r="AU49" s="140">
        <f>IF(AR$5+$E$10&gt;1,1,0)</f>
        <v>0</v>
      </c>
      <c r="AW49" s="21"/>
      <c r="AX49" s="21">
        <f t="shared" si="49"/>
        <v>0</v>
      </c>
      <c r="AY49" s="21">
        <f t="shared" si="50"/>
        <v>0</v>
      </c>
      <c r="AZ49" s="44">
        <f>BA49*AZ8*AY49</f>
        <v>0</v>
      </c>
      <c r="BA49" s="21">
        <v>30</v>
      </c>
      <c r="BB49" s="24">
        <f t="shared" si="51"/>
        <v>0</v>
      </c>
      <c r="BC49" s="21">
        <f>AY49*3</f>
        <v>0</v>
      </c>
      <c r="BD49" s="21">
        <f>AY49*3</f>
        <v>0</v>
      </c>
      <c r="BE49" s="21"/>
      <c r="BM49" s="21"/>
      <c r="BN49" s="24">
        <f t="shared" si="52"/>
        <v>0</v>
      </c>
      <c r="BO49">
        <f t="shared" si="53"/>
        <v>0</v>
      </c>
      <c r="BP49" s="49">
        <f t="shared" si="53"/>
        <v>0</v>
      </c>
    </row>
    <row r="50" spans="1:68" ht="12.75">
      <c r="A50">
        <v>47</v>
      </c>
      <c r="C50" t="s">
        <v>23</v>
      </c>
      <c r="D50" s="21"/>
      <c r="E50" s="21"/>
      <c r="F50" s="140"/>
      <c r="H50" s="138"/>
      <c r="I50" s="139"/>
      <c r="J50" s="225"/>
      <c r="K50" s="140">
        <f>IF(H$5+$E$10&gt;1,1,0)</f>
        <v>0</v>
      </c>
      <c r="M50" s="21"/>
      <c r="N50" s="21">
        <f t="shared" si="43"/>
        <v>0</v>
      </c>
      <c r="O50" s="21">
        <f t="shared" si="44"/>
        <v>0</v>
      </c>
      <c r="P50" s="44">
        <f>Q50*P8*O50</f>
        <v>0</v>
      </c>
      <c r="Q50" s="21">
        <v>60</v>
      </c>
      <c r="R50" s="24">
        <f t="shared" si="45"/>
        <v>0</v>
      </c>
      <c r="S50" s="21">
        <f>O50*3</f>
        <v>0</v>
      </c>
      <c r="T50" s="21">
        <f>O50*2</f>
        <v>0</v>
      </c>
      <c r="U50" s="21"/>
      <c r="V50" s="21"/>
      <c r="W50" s="21"/>
      <c r="Z50" s="138"/>
      <c r="AA50" s="139"/>
      <c r="AB50" s="225"/>
      <c r="AC50" s="140">
        <f>IF(Z$5+$E$10&gt;1,1,0)</f>
        <v>0</v>
      </c>
      <c r="AE50" s="21"/>
      <c r="AF50" s="21">
        <f t="shared" si="46"/>
        <v>0</v>
      </c>
      <c r="AG50" s="21">
        <f t="shared" si="47"/>
        <v>0</v>
      </c>
      <c r="AH50" s="44">
        <f>AI50*AH8*AG50</f>
        <v>0</v>
      </c>
      <c r="AI50" s="21">
        <v>60</v>
      </c>
      <c r="AJ50" s="24">
        <f t="shared" si="48"/>
        <v>0</v>
      </c>
      <c r="AK50" s="21">
        <f>AG50*3</f>
        <v>0</v>
      </c>
      <c r="AL50" s="21">
        <f>AG50*2</f>
        <v>0</v>
      </c>
      <c r="AM50" s="21"/>
      <c r="AN50" s="21"/>
      <c r="AO50" s="21"/>
      <c r="AR50" s="138"/>
      <c r="AS50" s="139"/>
      <c r="AT50" s="225"/>
      <c r="AU50" s="140">
        <f>IF(AR$5+$E$10&gt;1,1,0)</f>
        <v>0</v>
      </c>
      <c r="AW50" s="21"/>
      <c r="AX50" s="21">
        <f t="shared" si="49"/>
        <v>0</v>
      </c>
      <c r="AY50" s="21">
        <f t="shared" si="50"/>
        <v>0</v>
      </c>
      <c r="AZ50" s="44">
        <f>BA50*AZ8*AY50</f>
        <v>0</v>
      </c>
      <c r="BA50" s="21">
        <v>60</v>
      </c>
      <c r="BB50" s="24">
        <f t="shared" si="51"/>
        <v>0</v>
      </c>
      <c r="BC50" s="21">
        <f>AY50*3</f>
        <v>0</v>
      </c>
      <c r="BD50" s="21">
        <f>AY50*2</f>
        <v>0</v>
      </c>
      <c r="BE50" s="21"/>
      <c r="BM50" s="21"/>
      <c r="BN50" s="24">
        <f t="shared" si="52"/>
        <v>0</v>
      </c>
      <c r="BO50">
        <f t="shared" si="53"/>
        <v>0</v>
      </c>
      <c r="BP50" s="49">
        <f t="shared" si="53"/>
        <v>0</v>
      </c>
    </row>
    <row r="51" spans="1:68" ht="12.75">
      <c r="A51">
        <v>48</v>
      </c>
      <c r="C51" t="s">
        <v>24</v>
      </c>
      <c r="D51" s="21"/>
      <c r="E51" s="21"/>
      <c r="F51" s="140"/>
      <c r="H51" s="138"/>
      <c r="I51" s="139"/>
      <c r="J51" s="226">
        <f>IF(H$4+$E$10&gt;1,1,0)</f>
        <v>0</v>
      </c>
      <c r="K51" s="140"/>
      <c r="M51" s="21"/>
      <c r="N51" s="21">
        <f t="shared" si="43"/>
        <v>0</v>
      </c>
      <c r="O51" s="21">
        <f t="shared" si="44"/>
        <v>0</v>
      </c>
      <c r="P51" s="44">
        <f>Q51*P8*O51</f>
        <v>0</v>
      </c>
      <c r="Q51" s="21">
        <v>30</v>
      </c>
      <c r="R51" s="24">
        <f t="shared" si="45"/>
        <v>0</v>
      </c>
      <c r="S51" s="21">
        <f>O51*2</f>
        <v>0</v>
      </c>
      <c r="T51" s="21">
        <f>O51*2</f>
        <v>0</v>
      </c>
      <c r="U51" s="21"/>
      <c r="V51" s="21"/>
      <c r="W51" s="21"/>
      <c r="Z51" s="138"/>
      <c r="AA51" s="139"/>
      <c r="AB51" s="226">
        <f>IF(Z$4+$E$10&gt;1,1,0)</f>
        <v>0</v>
      </c>
      <c r="AC51" s="140"/>
      <c r="AE51" s="21"/>
      <c r="AF51" s="21">
        <f t="shared" si="46"/>
        <v>0</v>
      </c>
      <c r="AG51" s="21">
        <f t="shared" si="47"/>
        <v>0</v>
      </c>
      <c r="AH51" s="44">
        <f>AI51*AH8*AG51</f>
        <v>0</v>
      </c>
      <c r="AI51" s="21">
        <v>30</v>
      </c>
      <c r="AJ51" s="24">
        <f t="shared" si="48"/>
        <v>0</v>
      </c>
      <c r="AK51" s="21">
        <f>AG51*2</f>
        <v>0</v>
      </c>
      <c r="AL51" s="21">
        <f>AG51*2</f>
        <v>0</v>
      </c>
      <c r="AM51" s="21"/>
      <c r="AN51" s="21"/>
      <c r="AO51" s="21"/>
      <c r="AR51" s="138"/>
      <c r="AS51" s="139"/>
      <c r="AT51" s="226">
        <f>IF(AR$4+$E$10&gt;1,1,0)</f>
        <v>0</v>
      </c>
      <c r="AU51" s="140"/>
      <c r="AW51" s="21"/>
      <c r="AX51" s="21">
        <f t="shared" si="49"/>
        <v>0</v>
      </c>
      <c r="AY51" s="21">
        <f t="shared" si="50"/>
        <v>0</v>
      </c>
      <c r="AZ51" s="44">
        <f>BA51*AZ8*AY51</f>
        <v>0</v>
      </c>
      <c r="BA51" s="21">
        <v>30</v>
      </c>
      <c r="BB51" s="24">
        <f t="shared" si="51"/>
        <v>0</v>
      </c>
      <c r="BC51" s="21">
        <f>AY51*2</f>
        <v>0</v>
      </c>
      <c r="BD51" s="21">
        <f>AY51*2</f>
        <v>0</v>
      </c>
      <c r="BE51" s="21"/>
      <c r="BM51" s="21"/>
      <c r="BN51" s="24">
        <f t="shared" si="52"/>
        <v>0</v>
      </c>
      <c r="BO51">
        <f t="shared" si="53"/>
        <v>0</v>
      </c>
      <c r="BP51" s="49">
        <f t="shared" si="53"/>
        <v>0</v>
      </c>
    </row>
    <row r="52" spans="1:68" ht="12.75">
      <c r="A52">
        <v>49</v>
      </c>
      <c r="C52" t="s">
        <v>25</v>
      </c>
      <c r="D52" s="21"/>
      <c r="E52" s="21"/>
      <c r="F52" s="140"/>
      <c r="H52" s="138"/>
      <c r="I52" s="139"/>
      <c r="J52" s="226">
        <f>IF(H$4+$E$10&gt;1,1,0)</f>
        <v>0</v>
      </c>
      <c r="K52" s="140"/>
      <c r="M52" s="21"/>
      <c r="N52" s="21">
        <f t="shared" si="43"/>
        <v>0</v>
      </c>
      <c r="O52" s="21">
        <f t="shared" si="44"/>
        <v>0</v>
      </c>
      <c r="P52" s="36">
        <f>Q52*O52</f>
        <v>0</v>
      </c>
      <c r="Q52" s="21">
        <v>30</v>
      </c>
      <c r="R52" s="24">
        <f t="shared" si="45"/>
        <v>0</v>
      </c>
      <c r="S52" s="21">
        <f>O52*1</f>
        <v>0</v>
      </c>
      <c r="T52" s="21">
        <f>O52*1</f>
        <v>0</v>
      </c>
      <c r="U52" s="21"/>
      <c r="V52" s="21"/>
      <c r="W52" s="21"/>
      <c r="Z52" s="138"/>
      <c r="AA52" s="139"/>
      <c r="AB52" s="226">
        <f>IF(Z$4+$E$10&gt;1,1,0)</f>
        <v>0</v>
      </c>
      <c r="AC52" s="140"/>
      <c r="AE52" s="21"/>
      <c r="AF52" s="21">
        <f t="shared" si="46"/>
        <v>0</v>
      </c>
      <c r="AG52" s="21">
        <f t="shared" si="47"/>
        <v>0</v>
      </c>
      <c r="AH52" s="36">
        <f>AI52*AG52</f>
        <v>0</v>
      </c>
      <c r="AI52" s="21">
        <v>30</v>
      </c>
      <c r="AJ52" s="24">
        <f t="shared" si="48"/>
        <v>0</v>
      </c>
      <c r="AK52" s="21">
        <f>AG52*1</f>
        <v>0</v>
      </c>
      <c r="AL52" s="21">
        <f>AG52*1</f>
        <v>0</v>
      </c>
      <c r="AM52" s="21"/>
      <c r="AN52" s="21"/>
      <c r="AO52" s="21"/>
      <c r="AR52" s="138"/>
      <c r="AS52" s="139"/>
      <c r="AT52" s="226">
        <f>IF(AR$4+$E$10&gt;1,1,0)</f>
        <v>0</v>
      </c>
      <c r="AU52" s="140"/>
      <c r="AW52" s="21"/>
      <c r="AX52" s="21">
        <f t="shared" si="49"/>
        <v>0</v>
      </c>
      <c r="AY52" s="21">
        <f t="shared" si="50"/>
        <v>0</v>
      </c>
      <c r="AZ52" s="36">
        <f>BA52*AY52</f>
        <v>0</v>
      </c>
      <c r="BA52" s="21">
        <v>30</v>
      </c>
      <c r="BB52" s="24">
        <f t="shared" si="51"/>
        <v>0</v>
      </c>
      <c r="BC52" s="21">
        <f>AY52*1</f>
        <v>0</v>
      </c>
      <c r="BD52" s="21">
        <f>AY52*1</f>
        <v>0</v>
      </c>
      <c r="BE52" s="21"/>
      <c r="BM52" s="21"/>
      <c r="BN52" s="24">
        <f t="shared" si="52"/>
        <v>0</v>
      </c>
      <c r="BO52">
        <f t="shared" si="53"/>
        <v>0</v>
      </c>
      <c r="BP52" s="49">
        <f t="shared" si="53"/>
        <v>0</v>
      </c>
    </row>
    <row r="53" spans="4:68" ht="12.75">
      <c r="D53" s="21"/>
      <c r="E53" s="21"/>
      <c r="F53" s="135"/>
      <c r="H53" s="34"/>
      <c r="I53" s="33"/>
      <c r="J53" s="224"/>
      <c r="K53" s="135"/>
      <c r="M53" s="21"/>
      <c r="N53" s="21"/>
      <c r="O53" s="21"/>
      <c r="P53" s="36"/>
      <c r="Q53" s="21"/>
      <c r="R53" s="24"/>
      <c r="S53" s="21"/>
      <c r="T53" s="21"/>
      <c r="U53" s="21"/>
      <c r="V53" s="21"/>
      <c r="W53" s="21"/>
      <c r="Z53" s="34"/>
      <c r="AA53" s="33"/>
      <c r="AB53" s="224"/>
      <c r="AC53" s="135"/>
      <c r="AE53" s="21"/>
      <c r="AF53" s="21"/>
      <c r="AG53" s="21"/>
      <c r="AH53" s="36"/>
      <c r="AI53" s="21"/>
      <c r="AJ53" s="24"/>
      <c r="AK53" s="21"/>
      <c r="AL53" s="21"/>
      <c r="AM53" s="21"/>
      <c r="AN53" s="21"/>
      <c r="AO53" s="21"/>
      <c r="AR53" s="34"/>
      <c r="AS53" s="33"/>
      <c r="AT53" s="224"/>
      <c r="AU53" s="135"/>
      <c r="AW53" s="21"/>
      <c r="AX53" s="21"/>
      <c r="AY53" s="21"/>
      <c r="AZ53" s="36"/>
      <c r="BA53" s="21"/>
      <c r="BB53" s="24"/>
      <c r="BC53" s="21"/>
      <c r="BD53" s="21"/>
      <c r="BE53" s="21"/>
      <c r="BM53" s="21"/>
      <c r="BN53" s="24"/>
      <c r="BP53" s="49"/>
    </row>
    <row r="54" spans="3:68" ht="12.75">
      <c r="C54" s="29" t="s">
        <v>2</v>
      </c>
      <c r="D54" s="23"/>
      <c r="E54" s="23"/>
      <c r="F54" s="6"/>
      <c r="H54" s="220" t="s">
        <v>538</v>
      </c>
      <c r="I54" s="221" t="s">
        <v>537</v>
      </c>
      <c r="J54" s="223" t="s">
        <v>536</v>
      </c>
      <c r="K54" s="219" t="s">
        <v>64</v>
      </c>
      <c r="M54" s="21"/>
      <c r="N54" s="21"/>
      <c r="O54" s="21"/>
      <c r="P54" s="36"/>
      <c r="Q54" s="21"/>
      <c r="R54" s="24"/>
      <c r="S54" s="21"/>
      <c r="T54" s="21"/>
      <c r="U54" s="21"/>
      <c r="V54" s="21"/>
      <c r="W54" s="23"/>
      <c r="Z54" s="220" t="s">
        <v>538</v>
      </c>
      <c r="AA54" s="221" t="s">
        <v>537</v>
      </c>
      <c r="AB54" s="223" t="s">
        <v>536</v>
      </c>
      <c r="AC54" s="219" t="s">
        <v>64</v>
      </c>
      <c r="AE54" s="21"/>
      <c r="AF54" s="21"/>
      <c r="AG54" s="21"/>
      <c r="AH54" s="36"/>
      <c r="AI54" s="21"/>
      <c r="AJ54" s="24"/>
      <c r="AK54" s="21"/>
      <c r="AL54" s="21"/>
      <c r="AM54" s="21"/>
      <c r="AN54" s="21"/>
      <c r="AO54" s="23"/>
      <c r="AR54" s="220" t="s">
        <v>538</v>
      </c>
      <c r="AS54" s="221" t="s">
        <v>537</v>
      </c>
      <c r="AT54" s="223" t="s">
        <v>536</v>
      </c>
      <c r="AU54" s="219" t="s">
        <v>64</v>
      </c>
      <c r="AW54" s="21"/>
      <c r="AX54" s="21"/>
      <c r="AY54" s="21"/>
      <c r="AZ54" s="36"/>
      <c r="BA54" s="21"/>
      <c r="BB54" s="24"/>
      <c r="BC54" s="21"/>
      <c r="BD54" s="21"/>
      <c r="BE54" s="21"/>
      <c r="BM54" s="21"/>
      <c r="BN54" s="24"/>
      <c r="BP54" s="49"/>
    </row>
    <row r="55" spans="1:68" ht="12.75">
      <c r="A55">
        <v>50</v>
      </c>
      <c r="C55" t="s">
        <v>26</v>
      </c>
      <c r="D55" s="21"/>
      <c r="E55" s="21"/>
      <c r="F55" s="135"/>
      <c r="H55" s="34"/>
      <c r="I55" s="33"/>
      <c r="J55" s="226">
        <f>IF(H$4+$E$10&gt;1,1,0)</f>
        <v>0</v>
      </c>
      <c r="K55" s="135"/>
      <c r="M55" s="21"/>
      <c r="N55" s="21">
        <f>SUM(F55:L55)</f>
        <v>0</v>
      </c>
      <c r="O55" s="21">
        <f>IF(AND(P$10&gt;0,$N55&gt;0),1,0)</f>
        <v>0</v>
      </c>
      <c r="P55" s="36">
        <f>Q55*O55</f>
        <v>0</v>
      </c>
      <c r="Q55" s="21">
        <v>90</v>
      </c>
      <c r="R55" s="24">
        <f>P55/50</f>
        <v>0</v>
      </c>
      <c r="S55" s="21">
        <f>O55*3</f>
        <v>0</v>
      </c>
      <c r="T55" s="21">
        <f>O55*18</f>
        <v>0</v>
      </c>
      <c r="U55" s="21"/>
      <c r="V55" s="21"/>
      <c r="W55" s="21"/>
      <c r="Z55" s="34"/>
      <c r="AA55" s="33"/>
      <c r="AB55" s="226">
        <f>IF(Z$4+$E$10&gt;1,1,0)</f>
        <v>0</v>
      </c>
      <c r="AC55" s="135"/>
      <c r="AE55" s="21"/>
      <c r="AF55" s="21">
        <f>SUM(X55:AD55)</f>
        <v>0</v>
      </c>
      <c r="AG55" s="21">
        <f>IF(AND(AH$10&gt;0,$N55&gt;0),1,0)</f>
        <v>0</v>
      </c>
      <c r="AH55" s="36">
        <f>AI55*AG55</f>
        <v>0</v>
      </c>
      <c r="AI55" s="21">
        <v>90</v>
      </c>
      <c r="AJ55" s="24">
        <f>AH55/50</f>
        <v>0</v>
      </c>
      <c r="AK55" s="21">
        <f>AG55*3</f>
        <v>0</v>
      </c>
      <c r="AL55" s="21">
        <f>AG55*18</f>
        <v>0</v>
      </c>
      <c r="AM55" s="21"/>
      <c r="AN55" s="21"/>
      <c r="AO55" s="21"/>
      <c r="AR55" s="34"/>
      <c r="AS55" s="33"/>
      <c r="AT55" s="226">
        <f>IF(AR$4+$E$10&gt;1,1,0)</f>
        <v>0</v>
      </c>
      <c r="AU55" s="135"/>
      <c r="AW55" s="21"/>
      <c r="AX55" s="21">
        <f>SUM(AP55:AV55)</f>
        <v>0</v>
      </c>
      <c r="AY55" s="21">
        <f>IF(AND(AZ$10&gt;0,$N55&gt;0),1,0)</f>
        <v>0</v>
      </c>
      <c r="AZ55" s="36">
        <f>BA55*AY55</f>
        <v>0</v>
      </c>
      <c r="BA55" s="21">
        <v>90</v>
      </c>
      <c r="BB55" s="24">
        <f>AZ55/50</f>
        <v>0</v>
      </c>
      <c r="BC55" s="21">
        <f>AY55*3</f>
        <v>0</v>
      </c>
      <c r="BD55" s="21">
        <f>AY55*18</f>
        <v>0</v>
      </c>
      <c r="BE55" s="21"/>
      <c r="BM55" s="21"/>
      <c r="BN55" s="24">
        <f>R55+AJ55+BB55</f>
        <v>0</v>
      </c>
      <c r="BO55">
        <f aca="true" t="shared" si="54" ref="BO55:BP57">O55+AG55+AY55</f>
        <v>0</v>
      </c>
      <c r="BP55" s="49">
        <f t="shared" si="54"/>
        <v>0</v>
      </c>
    </row>
    <row r="56" spans="1:68" ht="12.75">
      <c r="A56">
        <v>51</v>
      </c>
      <c r="C56" t="s">
        <v>27</v>
      </c>
      <c r="D56" s="21"/>
      <c r="E56" s="21"/>
      <c r="F56" s="135"/>
      <c r="H56" s="34"/>
      <c r="I56" s="33"/>
      <c r="J56" s="226">
        <f>IF(H$4+$E$10&gt;1,1,0)</f>
        <v>0</v>
      </c>
      <c r="K56" s="135"/>
      <c r="M56" s="21"/>
      <c r="N56" s="21">
        <f>SUM(F56:L56)</f>
        <v>0</v>
      </c>
      <c r="O56" s="21">
        <f>IF(AND(P$10&gt;0,$N56&gt;0),1,0)</f>
        <v>0</v>
      </c>
      <c r="P56" s="36">
        <f>Q56*O56</f>
        <v>0</v>
      </c>
      <c r="Q56" s="21">
        <v>60</v>
      </c>
      <c r="R56" s="24">
        <f>P56/50</f>
        <v>0</v>
      </c>
      <c r="S56" s="21">
        <f>O56*2</f>
        <v>0</v>
      </c>
      <c r="T56" s="21">
        <f>O56*9</f>
        <v>0</v>
      </c>
      <c r="U56" s="21"/>
      <c r="V56" s="21"/>
      <c r="W56" s="21"/>
      <c r="Z56" s="34"/>
      <c r="AA56" s="33"/>
      <c r="AB56" s="226">
        <f>IF(Z$4+$E$10&gt;1,1,0)</f>
        <v>0</v>
      </c>
      <c r="AC56" s="135"/>
      <c r="AE56" s="21"/>
      <c r="AF56" s="21">
        <f>SUM(X56:AD56)</f>
        <v>0</v>
      </c>
      <c r="AG56" s="21">
        <f>IF(AND(AH$10&gt;0,$N56&gt;0),1,0)</f>
        <v>0</v>
      </c>
      <c r="AH56" s="36">
        <f>AI56*AG56</f>
        <v>0</v>
      </c>
      <c r="AI56" s="21">
        <v>60</v>
      </c>
      <c r="AJ56" s="24">
        <f>AH56/50</f>
        <v>0</v>
      </c>
      <c r="AK56" s="21">
        <f>AG56*2</f>
        <v>0</v>
      </c>
      <c r="AL56" s="21">
        <f>AG56*9</f>
        <v>0</v>
      </c>
      <c r="AM56" s="21"/>
      <c r="AN56" s="21"/>
      <c r="AO56" s="21"/>
      <c r="AR56" s="34"/>
      <c r="AS56" s="33"/>
      <c r="AT56" s="226">
        <f>IF(AR$4+$E$10&gt;1,1,0)</f>
        <v>0</v>
      </c>
      <c r="AU56" s="135"/>
      <c r="AW56" s="21"/>
      <c r="AX56" s="21">
        <f>SUM(AP56:AV56)</f>
        <v>0</v>
      </c>
      <c r="AY56" s="21">
        <f>IF(AND(AZ$10&gt;0,$N56&gt;0),1,0)</f>
        <v>0</v>
      </c>
      <c r="AZ56" s="36">
        <f>BA56*AY56</f>
        <v>0</v>
      </c>
      <c r="BA56" s="21">
        <v>60</v>
      </c>
      <c r="BB56" s="24">
        <f>AZ56/50</f>
        <v>0</v>
      </c>
      <c r="BC56" s="21">
        <f>AY56*2</f>
        <v>0</v>
      </c>
      <c r="BD56" s="21">
        <f>AY56*9</f>
        <v>0</v>
      </c>
      <c r="BE56" s="21"/>
      <c r="BM56" s="21"/>
      <c r="BN56" s="24">
        <f>R56+AJ56+BB56+BJ56</f>
        <v>0</v>
      </c>
      <c r="BO56">
        <f t="shared" si="54"/>
        <v>0</v>
      </c>
      <c r="BP56" s="49">
        <f t="shared" si="54"/>
        <v>0</v>
      </c>
    </row>
    <row r="57" spans="1:68" ht="12.75">
      <c r="A57">
        <v>52</v>
      </c>
      <c r="C57" t="s">
        <v>28</v>
      </c>
      <c r="D57" s="21"/>
      <c r="E57" s="21"/>
      <c r="F57" s="135"/>
      <c r="H57" s="34"/>
      <c r="I57" s="33"/>
      <c r="J57" s="226">
        <f>IF(H$4+$E$10&gt;1,1,0)</f>
        <v>0</v>
      </c>
      <c r="K57" s="135"/>
      <c r="M57" s="21"/>
      <c r="N57" s="21">
        <f>SUM(F57:L57)</f>
        <v>0</v>
      </c>
      <c r="O57" s="21">
        <f>IF(AND(P$10&gt;0,$N57&gt;0),1,0)</f>
        <v>0</v>
      </c>
      <c r="P57" s="36">
        <f>Q57*O57</f>
        <v>0</v>
      </c>
      <c r="Q57" s="21">
        <v>60</v>
      </c>
      <c r="R57" s="24">
        <f>P57/50</f>
        <v>0</v>
      </c>
      <c r="S57" s="21">
        <f>O57*2</f>
        <v>0</v>
      </c>
      <c r="T57" s="21">
        <f>O57*9</f>
        <v>0</v>
      </c>
      <c r="U57" s="21"/>
      <c r="V57" s="21"/>
      <c r="W57" s="21"/>
      <c r="Z57" s="34"/>
      <c r="AA57" s="33"/>
      <c r="AB57" s="226">
        <f>IF(Z$4+$E$10&gt;1,1,0)</f>
        <v>0</v>
      </c>
      <c r="AC57" s="135"/>
      <c r="AE57" s="21"/>
      <c r="AF57" s="21">
        <f>SUM(X57:AD57)</f>
        <v>0</v>
      </c>
      <c r="AG57" s="21">
        <f>IF(AND(AH$10&gt;0,$N57&gt;0),1,0)</f>
        <v>0</v>
      </c>
      <c r="AH57" s="36">
        <f>AI57*AG57</f>
        <v>0</v>
      </c>
      <c r="AI57" s="21">
        <v>60</v>
      </c>
      <c r="AJ57" s="24">
        <f>AH57/50</f>
        <v>0</v>
      </c>
      <c r="AK57" s="21">
        <f>AG57*2</f>
        <v>0</v>
      </c>
      <c r="AL57" s="21">
        <f>AG57*9</f>
        <v>0</v>
      </c>
      <c r="AM57" s="21"/>
      <c r="AN57" s="21"/>
      <c r="AO57" s="21"/>
      <c r="AR57" s="34"/>
      <c r="AS57" s="33"/>
      <c r="AT57" s="226">
        <f>IF(AR$4+$E$10&gt;1,1,0)</f>
        <v>0</v>
      </c>
      <c r="AU57" s="135"/>
      <c r="AW57" s="21"/>
      <c r="AX57" s="21">
        <f>SUM(AP57:AV57)</f>
        <v>0</v>
      </c>
      <c r="AY57" s="21">
        <f>IF(AND(AZ$10&gt;0,$N57&gt;0),1,0)</f>
        <v>0</v>
      </c>
      <c r="AZ57" s="36">
        <f>BA57*AY57</f>
        <v>0</v>
      </c>
      <c r="BA57" s="21">
        <v>60</v>
      </c>
      <c r="BB57" s="24">
        <f>AZ57/50</f>
        <v>0</v>
      </c>
      <c r="BC57" s="21">
        <f>AY57*2</f>
        <v>0</v>
      </c>
      <c r="BD57" s="21">
        <f>AY57*9</f>
        <v>0</v>
      </c>
      <c r="BE57" s="21"/>
      <c r="BM57" s="21"/>
      <c r="BN57" s="24">
        <f>R57+AJ57+BB57</f>
        <v>0</v>
      </c>
      <c r="BO57">
        <f t="shared" si="54"/>
        <v>0</v>
      </c>
      <c r="BP57" s="49">
        <f t="shared" si="54"/>
        <v>0</v>
      </c>
    </row>
    <row r="58" spans="4:68" ht="12.75">
      <c r="D58" s="21"/>
      <c r="E58" s="21"/>
      <c r="F58" s="135"/>
      <c r="H58" s="34"/>
      <c r="I58" s="33"/>
      <c r="J58" s="224"/>
      <c r="K58" s="135"/>
      <c r="M58" s="21"/>
      <c r="N58" s="21"/>
      <c r="O58" s="21"/>
      <c r="P58" s="36"/>
      <c r="Q58" s="21"/>
      <c r="R58" s="24"/>
      <c r="S58" s="21"/>
      <c r="T58" s="21"/>
      <c r="U58" s="21"/>
      <c r="V58" s="21"/>
      <c r="W58" s="21"/>
      <c r="Z58" s="34"/>
      <c r="AA58" s="33"/>
      <c r="AB58" s="224"/>
      <c r="AC58" s="135"/>
      <c r="AE58" s="21"/>
      <c r="AF58" s="21"/>
      <c r="AG58" s="21"/>
      <c r="AH58" s="36"/>
      <c r="AI58" s="21"/>
      <c r="AJ58" s="24"/>
      <c r="AK58" s="21"/>
      <c r="AL58" s="21"/>
      <c r="AM58" s="21"/>
      <c r="AN58" s="21"/>
      <c r="AO58" s="21"/>
      <c r="AR58" s="34"/>
      <c r="AS58" s="33"/>
      <c r="AT58" s="224"/>
      <c r="AU58" s="135"/>
      <c r="AW58" s="21"/>
      <c r="AX58" s="21"/>
      <c r="AY58" s="21"/>
      <c r="AZ58" s="36"/>
      <c r="BA58" s="21"/>
      <c r="BB58" s="24"/>
      <c r="BC58" s="21"/>
      <c r="BD58" s="21"/>
      <c r="BE58" s="21"/>
      <c r="BM58" s="21"/>
      <c r="BN58" s="24"/>
      <c r="BP58" s="49"/>
    </row>
    <row r="59" spans="1:68" ht="12.75">
      <c r="A59">
        <v>53</v>
      </c>
      <c r="C59" t="s">
        <v>29</v>
      </c>
      <c r="D59" s="21"/>
      <c r="E59" s="21"/>
      <c r="F59" s="135"/>
      <c r="H59" s="34"/>
      <c r="I59" s="33"/>
      <c r="J59" s="226">
        <f aca="true" t="shared" si="55" ref="J59:J65">IF(H$4+$E$10&gt;1,1,0)</f>
        <v>0</v>
      </c>
      <c r="K59" s="135"/>
      <c r="M59" s="21"/>
      <c r="N59" s="21">
        <f aca="true" t="shared" si="56" ref="N59:N65">SUM(F59:L59)</f>
        <v>0</v>
      </c>
      <c r="O59" s="21">
        <f aca="true" t="shared" si="57" ref="O59:O65">IF(AND(P$10&gt;0,$N59&gt;0),1,0)</f>
        <v>0</v>
      </c>
      <c r="P59" s="36">
        <f>Q59*O59</f>
        <v>0</v>
      </c>
      <c r="Q59" s="21">
        <v>60</v>
      </c>
      <c r="R59" s="24">
        <f aca="true" t="shared" si="58" ref="R59:R65">P59/50</f>
        <v>0</v>
      </c>
      <c r="S59" s="21">
        <f>O59*2</f>
        <v>0</v>
      </c>
      <c r="T59" s="21">
        <f>O59*2</f>
        <v>0</v>
      </c>
      <c r="U59" s="21"/>
      <c r="V59" s="21"/>
      <c r="W59" s="21"/>
      <c r="Z59" s="34"/>
      <c r="AA59" s="33"/>
      <c r="AB59" s="226">
        <f aca="true" t="shared" si="59" ref="AB59:AB65">IF(Z$4+$E$10&gt;1,1,0)</f>
        <v>0</v>
      </c>
      <c r="AC59" s="135"/>
      <c r="AE59" s="21"/>
      <c r="AF59" s="21">
        <f aca="true" t="shared" si="60" ref="AF59:AF65">SUM(X59:AD59)</f>
        <v>0</v>
      </c>
      <c r="AG59" s="21">
        <f aca="true" t="shared" si="61" ref="AG59:AG65">IF(AND(AH$10&gt;0,$N59&gt;0),1,0)</f>
        <v>0</v>
      </c>
      <c r="AH59" s="36">
        <f>AI59*AG59</f>
        <v>0</v>
      </c>
      <c r="AI59" s="21">
        <v>60</v>
      </c>
      <c r="AJ59" s="24">
        <f aca="true" t="shared" si="62" ref="AJ59:AJ65">AH59/50</f>
        <v>0</v>
      </c>
      <c r="AK59" s="21">
        <f>AG59*2</f>
        <v>0</v>
      </c>
      <c r="AL59" s="21">
        <f>AG59*2</f>
        <v>0</v>
      </c>
      <c r="AM59" s="21"/>
      <c r="AN59" s="21"/>
      <c r="AO59" s="21"/>
      <c r="AR59" s="34"/>
      <c r="AS59" s="33"/>
      <c r="AT59" s="226">
        <f aca="true" t="shared" si="63" ref="AT59:AT65">IF(AR$4+$E$10&gt;1,1,0)</f>
        <v>0</v>
      </c>
      <c r="AU59" s="135"/>
      <c r="AW59" s="21"/>
      <c r="AX59" s="21">
        <f aca="true" t="shared" si="64" ref="AX59:AX65">SUM(AP59:AV59)</f>
        <v>0</v>
      </c>
      <c r="AY59" s="21">
        <f aca="true" t="shared" si="65" ref="AY59:AY65">IF(AND(AZ$10&gt;0,$N59&gt;0),1,0)</f>
        <v>0</v>
      </c>
      <c r="AZ59" s="36">
        <f>BA59*AY59</f>
        <v>0</v>
      </c>
      <c r="BA59" s="21">
        <v>60</v>
      </c>
      <c r="BB59" s="24">
        <f aca="true" t="shared" si="66" ref="BB59:BB65">AZ59/50</f>
        <v>0</v>
      </c>
      <c r="BC59" s="21">
        <f>AY59*2</f>
        <v>0</v>
      </c>
      <c r="BD59" s="21">
        <f>AY59*2</f>
        <v>0</v>
      </c>
      <c r="BE59" s="21"/>
      <c r="BM59" s="21"/>
      <c r="BN59" s="24">
        <f aca="true" t="shared" si="67" ref="BN59:BN65">R59+AJ59+BB59</f>
        <v>0</v>
      </c>
      <c r="BO59">
        <f aca="true" t="shared" si="68" ref="BO59:BP65">O59+AG59+AY59</f>
        <v>0</v>
      </c>
      <c r="BP59" s="49">
        <f t="shared" si="68"/>
        <v>0</v>
      </c>
    </row>
    <row r="60" spans="1:68" ht="12.75">
      <c r="A60">
        <v>54</v>
      </c>
      <c r="C60" t="s">
        <v>30</v>
      </c>
      <c r="D60" s="21"/>
      <c r="E60" s="21"/>
      <c r="F60" s="135"/>
      <c r="H60" s="34"/>
      <c r="I60" s="33"/>
      <c r="J60" s="226">
        <f t="shared" si="55"/>
        <v>0</v>
      </c>
      <c r="K60" s="135"/>
      <c r="M60" s="21"/>
      <c r="N60" s="21">
        <f t="shared" si="56"/>
        <v>0</v>
      </c>
      <c r="O60" s="21">
        <f t="shared" si="57"/>
        <v>0</v>
      </c>
      <c r="P60" s="36">
        <f>Q60*P9*O60</f>
        <v>0</v>
      </c>
      <c r="Q60" s="21">
        <v>180</v>
      </c>
      <c r="R60" s="24">
        <f t="shared" si="58"/>
        <v>0</v>
      </c>
      <c r="S60" s="21">
        <f>O60*9</f>
        <v>0</v>
      </c>
      <c r="T60" s="21">
        <f>O60*7</f>
        <v>0</v>
      </c>
      <c r="U60" s="25"/>
      <c r="V60" s="25"/>
      <c r="W60" s="21"/>
      <c r="Z60" s="34"/>
      <c r="AA60" s="33"/>
      <c r="AB60" s="226">
        <f t="shared" si="59"/>
        <v>0</v>
      </c>
      <c r="AC60" s="135"/>
      <c r="AE60" s="21"/>
      <c r="AF60" s="21">
        <f t="shared" si="60"/>
        <v>0</v>
      </c>
      <c r="AG60" s="21">
        <f t="shared" si="61"/>
        <v>0</v>
      </c>
      <c r="AH60" s="36">
        <f>AI60*AH9*AG60</f>
        <v>0</v>
      </c>
      <c r="AI60" s="21">
        <v>180</v>
      </c>
      <c r="AJ60" s="24">
        <f t="shared" si="62"/>
        <v>0</v>
      </c>
      <c r="AK60" s="21">
        <f>AG60*9</f>
        <v>0</v>
      </c>
      <c r="AL60" s="21">
        <f>AG60*7</f>
        <v>0</v>
      </c>
      <c r="AM60" s="25"/>
      <c r="AN60" s="25"/>
      <c r="AO60" s="21"/>
      <c r="AR60" s="34"/>
      <c r="AS60" s="33"/>
      <c r="AT60" s="226">
        <f t="shared" si="63"/>
        <v>0</v>
      </c>
      <c r="AU60" s="135"/>
      <c r="AW60" s="21"/>
      <c r="AX60" s="21">
        <f t="shared" si="64"/>
        <v>0</v>
      </c>
      <c r="AY60" s="21">
        <f t="shared" si="65"/>
        <v>0</v>
      </c>
      <c r="AZ60" s="36">
        <f>BA60*AZ9*AY60</f>
        <v>0</v>
      </c>
      <c r="BA60" s="21">
        <v>180</v>
      </c>
      <c r="BB60" s="24">
        <f t="shared" si="66"/>
        <v>0</v>
      </c>
      <c r="BC60" s="21">
        <f>AY60*9</f>
        <v>0</v>
      </c>
      <c r="BD60" s="21">
        <f>AY60*7</f>
        <v>0</v>
      </c>
      <c r="BE60" s="25"/>
      <c r="BM60" s="21"/>
      <c r="BN60" s="24">
        <f t="shared" si="67"/>
        <v>0</v>
      </c>
      <c r="BO60">
        <f t="shared" si="68"/>
        <v>0</v>
      </c>
      <c r="BP60" s="49">
        <f t="shared" si="68"/>
        <v>0</v>
      </c>
    </row>
    <row r="61" spans="1:68" ht="12.75">
      <c r="A61">
        <v>55</v>
      </c>
      <c r="C61" t="s">
        <v>31</v>
      </c>
      <c r="D61" s="21"/>
      <c r="E61" s="21"/>
      <c r="F61" s="135"/>
      <c r="H61" s="34"/>
      <c r="I61" s="33"/>
      <c r="J61" s="226">
        <f t="shared" si="55"/>
        <v>0</v>
      </c>
      <c r="K61" s="135"/>
      <c r="M61" s="21"/>
      <c r="N61" s="21">
        <f t="shared" si="56"/>
        <v>0</v>
      </c>
      <c r="O61" s="21">
        <f t="shared" si="57"/>
        <v>0</v>
      </c>
      <c r="P61" s="36">
        <f>Q61*O61</f>
        <v>0</v>
      </c>
      <c r="Q61" s="21">
        <v>60</v>
      </c>
      <c r="R61" s="24">
        <f t="shared" si="58"/>
        <v>0</v>
      </c>
      <c r="S61" s="21">
        <f>O61*2</f>
        <v>0</v>
      </c>
      <c r="T61" s="21">
        <f>O61*9</f>
        <v>0</v>
      </c>
      <c r="U61" s="21"/>
      <c r="V61" s="21"/>
      <c r="W61" s="21"/>
      <c r="Z61" s="34"/>
      <c r="AA61" s="33"/>
      <c r="AB61" s="226">
        <f t="shared" si="59"/>
        <v>0</v>
      </c>
      <c r="AC61" s="135"/>
      <c r="AE61" s="21"/>
      <c r="AF61" s="21">
        <f t="shared" si="60"/>
        <v>0</v>
      </c>
      <c r="AG61" s="21">
        <f t="shared" si="61"/>
        <v>0</v>
      </c>
      <c r="AH61" s="36">
        <f>AI61*AG61</f>
        <v>0</v>
      </c>
      <c r="AI61" s="21">
        <v>60</v>
      </c>
      <c r="AJ61" s="24">
        <f t="shared" si="62"/>
        <v>0</v>
      </c>
      <c r="AK61" s="21">
        <f>AG61*2</f>
        <v>0</v>
      </c>
      <c r="AL61" s="21">
        <f>AG61*9</f>
        <v>0</v>
      </c>
      <c r="AM61" s="21"/>
      <c r="AN61" s="21"/>
      <c r="AO61" s="21"/>
      <c r="AR61" s="34"/>
      <c r="AS61" s="33"/>
      <c r="AT61" s="226">
        <f t="shared" si="63"/>
        <v>0</v>
      </c>
      <c r="AU61" s="135"/>
      <c r="AW61" s="21"/>
      <c r="AX61" s="21">
        <f t="shared" si="64"/>
        <v>0</v>
      </c>
      <c r="AY61" s="21">
        <f t="shared" si="65"/>
        <v>0</v>
      </c>
      <c r="AZ61" s="36">
        <f>BA61*AY61</f>
        <v>0</v>
      </c>
      <c r="BA61" s="21">
        <v>60</v>
      </c>
      <c r="BB61" s="24">
        <f t="shared" si="66"/>
        <v>0</v>
      </c>
      <c r="BC61" s="21">
        <f>AY61*2</f>
        <v>0</v>
      </c>
      <c r="BD61" s="21">
        <f>AY61*9</f>
        <v>0</v>
      </c>
      <c r="BE61" s="21"/>
      <c r="BM61" s="21"/>
      <c r="BN61" s="24">
        <f t="shared" si="67"/>
        <v>0</v>
      </c>
      <c r="BO61">
        <f t="shared" si="68"/>
        <v>0</v>
      </c>
      <c r="BP61" s="49">
        <f t="shared" si="68"/>
        <v>0</v>
      </c>
    </row>
    <row r="62" spans="1:68" ht="12.75">
      <c r="A62">
        <v>56</v>
      </c>
      <c r="C62" t="s">
        <v>32</v>
      </c>
      <c r="D62" s="21"/>
      <c r="E62" s="21"/>
      <c r="F62" s="135"/>
      <c r="H62" s="34"/>
      <c r="I62" s="33"/>
      <c r="J62" s="226">
        <f t="shared" si="55"/>
        <v>0</v>
      </c>
      <c r="K62" s="135"/>
      <c r="M62" s="21"/>
      <c r="N62" s="21">
        <f t="shared" si="56"/>
        <v>0</v>
      </c>
      <c r="O62" s="21">
        <f t="shared" si="57"/>
        <v>0</v>
      </c>
      <c r="P62" s="36">
        <f>Q62*O62</f>
        <v>0</v>
      </c>
      <c r="Q62" s="21">
        <v>60</v>
      </c>
      <c r="R62" s="24">
        <f t="shared" si="58"/>
        <v>0</v>
      </c>
      <c r="S62" s="21">
        <f>O62*2</f>
        <v>0</v>
      </c>
      <c r="T62" s="21">
        <f>O62*9</f>
        <v>0</v>
      </c>
      <c r="U62" s="21"/>
      <c r="V62" s="21"/>
      <c r="W62" s="21"/>
      <c r="Z62" s="34"/>
      <c r="AA62" s="33"/>
      <c r="AB62" s="226">
        <f t="shared" si="59"/>
        <v>0</v>
      </c>
      <c r="AC62" s="135"/>
      <c r="AE62" s="21"/>
      <c r="AF62" s="21">
        <f t="shared" si="60"/>
        <v>0</v>
      </c>
      <c r="AG62" s="21">
        <f t="shared" si="61"/>
        <v>0</v>
      </c>
      <c r="AH62" s="36">
        <f>AI62*AG62</f>
        <v>0</v>
      </c>
      <c r="AI62" s="21">
        <v>60</v>
      </c>
      <c r="AJ62" s="24">
        <f t="shared" si="62"/>
        <v>0</v>
      </c>
      <c r="AK62" s="21">
        <f>AG62*2</f>
        <v>0</v>
      </c>
      <c r="AL62" s="21">
        <f>AG62*9</f>
        <v>0</v>
      </c>
      <c r="AM62" s="21"/>
      <c r="AN62" s="21"/>
      <c r="AO62" s="21"/>
      <c r="AR62" s="34"/>
      <c r="AS62" s="33"/>
      <c r="AT62" s="226">
        <f t="shared" si="63"/>
        <v>0</v>
      </c>
      <c r="AU62" s="135"/>
      <c r="AW62" s="21"/>
      <c r="AX62" s="21">
        <f t="shared" si="64"/>
        <v>0</v>
      </c>
      <c r="AY62" s="21">
        <f t="shared" si="65"/>
        <v>0</v>
      </c>
      <c r="AZ62" s="36">
        <f>BA62*AY62</f>
        <v>0</v>
      </c>
      <c r="BA62" s="21">
        <v>60</v>
      </c>
      <c r="BB62" s="24">
        <f t="shared" si="66"/>
        <v>0</v>
      </c>
      <c r="BC62" s="21">
        <f>AY62*2</f>
        <v>0</v>
      </c>
      <c r="BD62" s="21">
        <f>AY62*9</f>
        <v>0</v>
      </c>
      <c r="BE62" s="21"/>
      <c r="BM62" s="21"/>
      <c r="BN62" s="24">
        <f t="shared" si="67"/>
        <v>0</v>
      </c>
      <c r="BO62">
        <f t="shared" si="68"/>
        <v>0</v>
      </c>
      <c r="BP62" s="49">
        <f t="shared" si="68"/>
        <v>0</v>
      </c>
    </row>
    <row r="63" spans="1:68" ht="12.75">
      <c r="A63">
        <v>57</v>
      </c>
      <c r="C63" t="s">
        <v>33</v>
      </c>
      <c r="D63" s="21"/>
      <c r="E63" s="21"/>
      <c r="F63" s="135"/>
      <c r="H63" s="34"/>
      <c r="I63" s="33"/>
      <c r="J63" s="226">
        <f t="shared" si="55"/>
        <v>0</v>
      </c>
      <c r="K63" s="135"/>
      <c r="M63" s="21"/>
      <c r="N63" s="21">
        <f t="shared" si="56"/>
        <v>0</v>
      </c>
      <c r="O63" s="21">
        <f t="shared" si="57"/>
        <v>0</v>
      </c>
      <c r="P63" s="36">
        <f>Q63*O63</f>
        <v>0</v>
      </c>
      <c r="Q63" s="21">
        <v>60</v>
      </c>
      <c r="R63" s="24">
        <f t="shared" si="58"/>
        <v>0</v>
      </c>
      <c r="S63" s="21">
        <f>O63*2</f>
        <v>0</v>
      </c>
      <c r="T63" s="21">
        <f>O63*9</f>
        <v>0</v>
      </c>
      <c r="U63" s="21"/>
      <c r="V63" s="21"/>
      <c r="W63" s="21"/>
      <c r="Z63" s="34"/>
      <c r="AA63" s="33"/>
      <c r="AB63" s="226">
        <f t="shared" si="59"/>
        <v>0</v>
      </c>
      <c r="AC63" s="135"/>
      <c r="AE63" s="21"/>
      <c r="AF63" s="21">
        <f t="shared" si="60"/>
        <v>0</v>
      </c>
      <c r="AG63" s="21">
        <f t="shared" si="61"/>
        <v>0</v>
      </c>
      <c r="AH63" s="36">
        <f>AI63*AG63</f>
        <v>0</v>
      </c>
      <c r="AI63" s="21">
        <v>60</v>
      </c>
      <c r="AJ63" s="24">
        <f t="shared" si="62"/>
        <v>0</v>
      </c>
      <c r="AK63" s="21">
        <f>AG63*2</f>
        <v>0</v>
      </c>
      <c r="AL63" s="21">
        <f>AG63*9</f>
        <v>0</v>
      </c>
      <c r="AM63" s="21"/>
      <c r="AN63" s="21"/>
      <c r="AO63" s="21"/>
      <c r="AR63" s="34"/>
      <c r="AS63" s="33"/>
      <c r="AT63" s="226">
        <f t="shared" si="63"/>
        <v>0</v>
      </c>
      <c r="AU63" s="135"/>
      <c r="AW63" s="21"/>
      <c r="AX63" s="21">
        <f t="shared" si="64"/>
        <v>0</v>
      </c>
      <c r="AY63" s="21">
        <f t="shared" si="65"/>
        <v>0</v>
      </c>
      <c r="AZ63" s="36">
        <f>BA63*AY63</f>
        <v>0</v>
      </c>
      <c r="BA63" s="21">
        <v>60</v>
      </c>
      <c r="BB63" s="24">
        <f t="shared" si="66"/>
        <v>0</v>
      </c>
      <c r="BC63" s="21">
        <f>AY63*2</f>
        <v>0</v>
      </c>
      <c r="BD63" s="21">
        <f>AY63*9</f>
        <v>0</v>
      </c>
      <c r="BE63" s="21"/>
      <c r="BM63" s="21"/>
      <c r="BN63" s="24">
        <f t="shared" si="67"/>
        <v>0</v>
      </c>
      <c r="BO63">
        <f t="shared" si="68"/>
        <v>0</v>
      </c>
      <c r="BP63" s="49">
        <f t="shared" si="68"/>
        <v>0</v>
      </c>
    </row>
    <row r="64" spans="1:68" ht="12.75">
      <c r="A64">
        <v>58</v>
      </c>
      <c r="C64" t="s">
        <v>34</v>
      </c>
      <c r="D64" s="21"/>
      <c r="E64" s="21"/>
      <c r="F64" s="135"/>
      <c r="H64" s="34"/>
      <c r="I64" s="33"/>
      <c r="J64" s="226">
        <f t="shared" si="55"/>
        <v>0</v>
      </c>
      <c r="K64" s="135"/>
      <c r="M64" s="21"/>
      <c r="N64" s="21">
        <f t="shared" si="56"/>
        <v>0</v>
      </c>
      <c r="O64" s="21">
        <f t="shared" si="57"/>
        <v>0</v>
      </c>
      <c r="P64" s="36">
        <f>Q64*O64</f>
        <v>0</v>
      </c>
      <c r="Q64" s="21">
        <v>45</v>
      </c>
      <c r="R64" s="24">
        <f t="shared" si="58"/>
        <v>0</v>
      </c>
      <c r="S64" s="21">
        <f>O64*1</f>
        <v>0</v>
      </c>
      <c r="T64" s="21">
        <f>O64*4</f>
        <v>0</v>
      </c>
      <c r="U64" s="21"/>
      <c r="V64" s="21"/>
      <c r="W64" s="21"/>
      <c r="Z64" s="34"/>
      <c r="AA64" s="33"/>
      <c r="AB64" s="226">
        <f t="shared" si="59"/>
        <v>0</v>
      </c>
      <c r="AC64" s="135"/>
      <c r="AE64" s="21"/>
      <c r="AF64" s="21">
        <f t="shared" si="60"/>
        <v>0</v>
      </c>
      <c r="AG64" s="21">
        <f t="shared" si="61"/>
        <v>0</v>
      </c>
      <c r="AH64" s="36">
        <f>AI64*AG64</f>
        <v>0</v>
      </c>
      <c r="AI64" s="21">
        <v>45</v>
      </c>
      <c r="AJ64" s="24">
        <f t="shared" si="62"/>
        <v>0</v>
      </c>
      <c r="AK64" s="21">
        <f>AG64*1</f>
        <v>0</v>
      </c>
      <c r="AL64" s="21">
        <f>AG64*4</f>
        <v>0</v>
      </c>
      <c r="AM64" s="21"/>
      <c r="AN64" s="21"/>
      <c r="AO64" s="21"/>
      <c r="AR64" s="34"/>
      <c r="AS64" s="33"/>
      <c r="AT64" s="226">
        <f t="shared" si="63"/>
        <v>0</v>
      </c>
      <c r="AU64" s="135"/>
      <c r="AW64" s="21"/>
      <c r="AX64" s="21">
        <f t="shared" si="64"/>
        <v>0</v>
      </c>
      <c r="AY64" s="21">
        <f t="shared" si="65"/>
        <v>0</v>
      </c>
      <c r="AZ64" s="36">
        <f>BA64*AY64</f>
        <v>0</v>
      </c>
      <c r="BA64" s="21">
        <v>45</v>
      </c>
      <c r="BB64" s="24">
        <f t="shared" si="66"/>
        <v>0</v>
      </c>
      <c r="BC64" s="21">
        <f>AY64*1</f>
        <v>0</v>
      </c>
      <c r="BD64" s="21">
        <f>AY64*4</f>
        <v>0</v>
      </c>
      <c r="BE64" s="21"/>
      <c r="BM64" s="21"/>
      <c r="BN64" s="24">
        <f t="shared" si="67"/>
        <v>0</v>
      </c>
      <c r="BO64">
        <f t="shared" si="68"/>
        <v>0</v>
      </c>
      <c r="BP64" s="49">
        <f t="shared" si="68"/>
        <v>0</v>
      </c>
    </row>
    <row r="65" spans="1:68" ht="12.75">
      <c r="A65">
        <v>59</v>
      </c>
      <c r="C65" t="s">
        <v>35</v>
      </c>
      <c r="D65" s="21"/>
      <c r="E65" s="21"/>
      <c r="F65" s="135"/>
      <c r="H65" s="34"/>
      <c r="I65" s="33"/>
      <c r="J65" s="226">
        <f t="shared" si="55"/>
        <v>0</v>
      </c>
      <c r="K65" s="135"/>
      <c r="M65" s="21"/>
      <c r="N65" s="21">
        <f t="shared" si="56"/>
        <v>0</v>
      </c>
      <c r="O65" s="21">
        <f t="shared" si="57"/>
        <v>0</v>
      </c>
      <c r="P65" s="36">
        <f>Q65*O65</f>
        <v>0</v>
      </c>
      <c r="Q65" s="21">
        <v>60</v>
      </c>
      <c r="R65" s="24">
        <f t="shared" si="58"/>
        <v>0</v>
      </c>
      <c r="S65" s="21">
        <f>O65*4</f>
        <v>0</v>
      </c>
      <c r="T65" s="21"/>
      <c r="U65" s="21"/>
      <c r="V65" s="21"/>
      <c r="W65" s="21"/>
      <c r="Z65" s="34"/>
      <c r="AA65" s="33"/>
      <c r="AB65" s="226">
        <f t="shared" si="59"/>
        <v>0</v>
      </c>
      <c r="AC65" s="135"/>
      <c r="AE65" s="21"/>
      <c r="AF65" s="21">
        <f t="shared" si="60"/>
        <v>0</v>
      </c>
      <c r="AG65" s="21">
        <f t="shared" si="61"/>
        <v>0</v>
      </c>
      <c r="AH65" s="36">
        <f>AI65*AG65</f>
        <v>0</v>
      </c>
      <c r="AI65" s="21">
        <v>60</v>
      </c>
      <c r="AJ65" s="24">
        <f t="shared" si="62"/>
        <v>0</v>
      </c>
      <c r="AK65" s="21">
        <f>AG65*4</f>
        <v>0</v>
      </c>
      <c r="AL65" s="21"/>
      <c r="AM65" s="21"/>
      <c r="AN65" s="21"/>
      <c r="AO65" s="21"/>
      <c r="AR65" s="34"/>
      <c r="AS65" s="33"/>
      <c r="AT65" s="226">
        <f t="shared" si="63"/>
        <v>0</v>
      </c>
      <c r="AU65" s="135"/>
      <c r="AW65" s="21"/>
      <c r="AX65" s="21">
        <f t="shared" si="64"/>
        <v>0</v>
      </c>
      <c r="AY65" s="21">
        <f t="shared" si="65"/>
        <v>0</v>
      </c>
      <c r="AZ65" s="36">
        <f>BA65*AY65</f>
        <v>0</v>
      </c>
      <c r="BA65" s="21">
        <v>60</v>
      </c>
      <c r="BB65" s="24">
        <f t="shared" si="66"/>
        <v>0</v>
      </c>
      <c r="BC65" s="21">
        <f>AY65*4</f>
        <v>0</v>
      </c>
      <c r="BD65" s="21"/>
      <c r="BE65" s="21"/>
      <c r="BM65" s="21"/>
      <c r="BN65" s="24">
        <f t="shared" si="67"/>
        <v>0</v>
      </c>
      <c r="BO65">
        <f t="shared" si="68"/>
        <v>0</v>
      </c>
      <c r="BP65" s="49">
        <f t="shared" si="68"/>
        <v>0</v>
      </c>
    </row>
    <row r="66" spans="4:68" ht="12.75">
      <c r="D66" s="21"/>
      <c r="E66" s="21"/>
      <c r="F66" s="135"/>
      <c r="H66" s="34"/>
      <c r="I66" s="33"/>
      <c r="J66" s="224"/>
      <c r="K66" s="135"/>
      <c r="M66" s="21"/>
      <c r="N66" s="21"/>
      <c r="O66" s="21"/>
      <c r="P66" s="36"/>
      <c r="Q66" s="21"/>
      <c r="R66" s="24"/>
      <c r="S66" s="21"/>
      <c r="T66" s="21"/>
      <c r="U66" s="21"/>
      <c r="V66" s="21"/>
      <c r="W66" s="21"/>
      <c r="Z66" s="34"/>
      <c r="AA66" s="33"/>
      <c r="AB66" s="224"/>
      <c r="AC66" s="135"/>
      <c r="AE66" s="21"/>
      <c r="AF66" s="21"/>
      <c r="AG66" s="21"/>
      <c r="AH66" s="36"/>
      <c r="AI66" s="21"/>
      <c r="AJ66" s="24"/>
      <c r="AK66" s="21"/>
      <c r="AL66" s="21"/>
      <c r="AM66" s="21"/>
      <c r="AN66" s="21"/>
      <c r="AO66" s="21"/>
      <c r="AR66" s="34"/>
      <c r="AS66" s="33"/>
      <c r="AT66" s="224"/>
      <c r="AU66" s="135"/>
      <c r="AW66" s="21"/>
      <c r="AX66" s="21"/>
      <c r="AY66" s="21"/>
      <c r="AZ66" s="36"/>
      <c r="BA66" s="21"/>
      <c r="BB66" s="24"/>
      <c r="BC66" s="21"/>
      <c r="BD66" s="21"/>
      <c r="BE66" s="21"/>
      <c r="BM66" s="21"/>
      <c r="BN66" s="24"/>
      <c r="BP66" s="49"/>
    </row>
    <row r="67" spans="3:68" ht="12.75">
      <c r="C67" s="29" t="s">
        <v>36</v>
      </c>
      <c r="D67" s="23"/>
      <c r="E67" s="23"/>
      <c r="F67" s="6"/>
      <c r="H67" s="220" t="s">
        <v>538</v>
      </c>
      <c r="I67" s="221" t="s">
        <v>537</v>
      </c>
      <c r="J67" s="223" t="s">
        <v>536</v>
      </c>
      <c r="K67" s="219" t="s">
        <v>64</v>
      </c>
      <c r="M67" s="21"/>
      <c r="N67" s="21"/>
      <c r="O67" s="21"/>
      <c r="P67" s="36"/>
      <c r="Q67" s="21"/>
      <c r="R67" s="24"/>
      <c r="S67" s="21"/>
      <c r="T67" s="21"/>
      <c r="U67" s="21"/>
      <c r="V67" s="21"/>
      <c r="W67" s="23"/>
      <c r="Z67" s="220" t="s">
        <v>538</v>
      </c>
      <c r="AA67" s="221" t="s">
        <v>537</v>
      </c>
      <c r="AB67" s="223" t="s">
        <v>536</v>
      </c>
      <c r="AC67" s="219" t="s">
        <v>64</v>
      </c>
      <c r="AE67" s="21"/>
      <c r="AF67" s="21"/>
      <c r="AG67" s="21"/>
      <c r="AH67" s="36"/>
      <c r="AI67" s="21"/>
      <c r="AJ67" s="24"/>
      <c r="AK67" s="21"/>
      <c r="AL67" s="21"/>
      <c r="AM67" s="21"/>
      <c r="AN67" s="21"/>
      <c r="AO67" s="23"/>
      <c r="AR67" s="220" t="s">
        <v>538</v>
      </c>
      <c r="AS67" s="221" t="s">
        <v>537</v>
      </c>
      <c r="AT67" s="223" t="s">
        <v>536</v>
      </c>
      <c r="AU67" s="219" t="s">
        <v>64</v>
      </c>
      <c r="AW67" s="21"/>
      <c r="AX67" s="21"/>
      <c r="AY67" s="21"/>
      <c r="AZ67" s="36"/>
      <c r="BA67" s="21"/>
      <c r="BB67" s="24"/>
      <c r="BC67" s="21"/>
      <c r="BD67" s="21"/>
      <c r="BE67" s="21"/>
      <c r="BM67" s="21"/>
      <c r="BN67" s="24"/>
      <c r="BP67" s="49"/>
    </row>
    <row r="68" spans="1:68" ht="12.75">
      <c r="A68">
        <v>60</v>
      </c>
      <c r="C68" t="s">
        <v>37</v>
      </c>
      <c r="D68" s="21"/>
      <c r="E68" s="21"/>
      <c r="F68" s="135"/>
      <c r="H68" s="34"/>
      <c r="I68" s="33"/>
      <c r="J68" s="226">
        <f aca="true" t="shared" si="69" ref="J68:J74">IF(H$4+$E$10&gt;1,1,0)</f>
        <v>0</v>
      </c>
      <c r="K68" s="135"/>
      <c r="M68" s="21"/>
      <c r="N68" s="21">
        <f aca="true" t="shared" si="70" ref="N68:N74">SUM(F68:L68)</f>
        <v>0</v>
      </c>
      <c r="O68" s="21">
        <f aca="true" t="shared" si="71" ref="O68:O74">IF(AND(P$10&gt;0,$N68&gt;0),1,0)</f>
        <v>0</v>
      </c>
      <c r="P68" s="36">
        <f>Q68*P9*O68</f>
        <v>0</v>
      </c>
      <c r="Q68" s="21">
        <v>60</v>
      </c>
      <c r="R68" s="24">
        <f>P58/50</f>
        <v>0</v>
      </c>
      <c r="S68" s="21">
        <f>O68*4</f>
        <v>0</v>
      </c>
      <c r="T68" s="21">
        <f>O68*2</f>
        <v>0</v>
      </c>
      <c r="U68" s="25"/>
      <c r="V68" s="25"/>
      <c r="W68" s="21"/>
      <c r="Z68" s="34"/>
      <c r="AA68" s="33"/>
      <c r="AB68" s="226">
        <f aca="true" t="shared" si="72" ref="AB68:AB74">IF(Z$4+$E$10&gt;1,1,0)</f>
        <v>0</v>
      </c>
      <c r="AC68" s="135"/>
      <c r="AE68" s="21"/>
      <c r="AF68" s="21">
        <f aca="true" t="shared" si="73" ref="AF68:AF74">SUM(X68:AD68)</f>
        <v>0</v>
      </c>
      <c r="AG68" s="21">
        <f aca="true" t="shared" si="74" ref="AG68:AG74">IF(AND(AH$10&gt;0,$N68&gt;0),1,0)</f>
        <v>0</v>
      </c>
      <c r="AH68" s="36">
        <f>AI68*AH9*AG68</f>
        <v>0</v>
      </c>
      <c r="AI68" s="21">
        <v>60</v>
      </c>
      <c r="AJ68" s="24">
        <f>AH58/50</f>
        <v>0</v>
      </c>
      <c r="AK68" s="21">
        <f>AG68*4</f>
        <v>0</v>
      </c>
      <c r="AL68" s="21">
        <f>AG68*2</f>
        <v>0</v>
      </c>
      <c r="AM68" s="25"/>
      <c r="AN68" s="25"/>
      <c r="AO68" s="21"/>
      <c r="AR68" s="34"/>
      <c r="AS68" s="33"/>
      <c r="AT68" s="226">
        <f aca="true" t="shared" si="75" ref="AT68:AT74">IF(AR$4+$E$10&gt;1,1,0)</f>
        <v>0</v>
      </c>
      <c r="AU68" s="135"/>
      <c r="AW68" s="21"/>
      <c r="AX68" s="21">
        <f aca="true" t="shared" si="76" ref="AX68:AX74">SUM(AP68:AV68)</f>
        <v>0</v>
      </c>
      <c r="AY68" s="21">
        <f aca="true" t="shared" si="77" ref="AY68:AY74">IF(AND(AZ$10&gt;0,$N68&gt;0),1,0)</f>
        <v>0</v>
      </c>
      <c r="AZ68" s="36">
        <f>BA68*AZ9*AY68</f>
        <v>0</v>
      </c>
      <c r="BA68" s="21">
        <v>60</v>
      </c>
      <c r="BB68" s="24">
        <f>AZ58/50</f>
        <v>0</v>
      </c>
      <c r="BC68" s="21">
        <f>AY68*4</f>
        <v>0</v>
      </c>
      <c r="BD68" s="21">
        <f>AY68*2</f>
        <v>0</v>
      </c>
      <c r="BE68" s="25"/>
      <c r="BM68" s="21"/>
      <c r="BN68" s="24">
        <f aca="true" t="shared" si="78" ref="BN68:BN74">R68+AJ68+BB68</f>
        <v>0</v>
      </c>
      <c r="BO68">
        <f aca="true" t="shared" si="79" ref="BO68:BP74">O68+AG68+AY68</f>
        <v>0</v>
      </c>
      <c r="BP68" s="49">
        <f t="shared" si="79"/>
        <v>0</v>
      </c>
    </row>
    <row r="69" spans="1:68" ht="12.75">
      <c r="A69">
        <v>61</v>
      </c>
      <c r="C69" t="s">
        <v>38</v>
      </c>
      <c r="D69" s="21"/>
      <c r="E69" s="21"/>
      <c r="F69" s="135"/>
      <c r="H69" s="34"/>
      <c r="I69" s="33"/>
      <c r="J69" s="226">
        <f t="shared" si="69"/>
        <v>0</v>
      </c>
      <c r="K69" s="135"/>
      <c r="M69" s="21"/>
      <c r="N69" s="21">
        <f t="shared" si="70"/>
        <v>0</v>
      </c>
      <c r="O69" s="21">
        <f t="shared" si="71"/>
        <v>0</v>
      </c>
      <c r="P69" s="36">
        <f>Q69*P9*O69</f>
        <v>0</v>
      </c>
      <c r="Q69" s="21">
        <v>60</v>
      </c>
      <c r="R69" s="24">
        <f aca="true" t="shared" si="80" ref="R69:R74">P69/50</f>
        <v>0</v>
      </c>
      <c r="S69" s="21">
        <f>O69*4</f>
        <v>0</v>
      </c>
      <c r="T69" s="21">
        <f>O69*2</f>
        <v>0</v>
      </c>
      <c r="U69" s="25"/>
      <c r="V69" s="25"/>
      <c r="W69" s="21"/>
      <c r="Z69" s="34"/>
      <c r="AA69" s="33"/>
      <c r="AB69" s="226">
        <f t="shared" si="72"/>
        <v>0</v>
      </c>
      <c r="AC69" s="135"/>
      <c r="AE69" s="21"/>
      <c r="AF69" s="21">
        <f t="shared" si="73"/>
        <v>0</v>
      </c>
      <c r="AG69" s="21">
        <f t="shared" si="74"/>
        <v>0</v>
      </c>
      <c r="AH69" s="36">
        <f>AI69*AH9*AG69</f>
        <v>0</v>
      </c>
      <c r="AI69" s="21">
        <v>60</v>
      </c>
      <c r="AJ69" s="24">
        <f aca="true" t="shared" si="81" ref="AJ69:AJ74">AH69/50</f>
        <v>0</v>
      </c>
      <c r="AK69" s="21">
        <f>AG69*4</f>
        <v>0</v>
      </c>
      <c r="AL69" s="21">
        <f>AG69*2</f>
        <v>0</v>
      </c>
      <c r="AM69" s="25"/>
      <c r="AN69" s="25"/>
      <c r="AO69" s="21"/>
      <c r="AR69" s="34"/>
      <c r="AS69" s="33"/>
      <c r="AT69" s="226">
        <f t="shared" si="75"/>
        <v>0</v>
      </c>
      <c r="AU69" s="135"/>
      <c r="AW69" s="21"/>
      <c r="AX69" s="21">
        <f t="shared" si="76"/>
        <v>0</v>
      </c>
      <c r="AY69" s="21">
        <f t="shared" si="77"/>
        <v>0</v>
      </c>
      <c r="AZ69" s="36">
        <f>BA69*AZ9*AY69</f>
        <v>0</v>
      </c>
      <c r="BA69" s="21">
        <v>60</v>
      </c>
      <c r="BB69" s="24">
        <f aca="true" t="shared" si="82" ref="BB69:BB74">AZ69/50</f>
        <v>0</v>
      </c>
      <c r="BC69" s="21">
        <f>AY69*4</f>
        <v>0</v>
      </c>
      <c r="BD69" s="21">
        <f>AY69*2</f>
        <v>0</v>
      </c>
      <c r="BE69" s="25"/>
      <c r="BM69" s="21"/>
      <c r="BN69" s="24">
        <f t="shared" si="78"/>
        <v>0</v>
      </c>
      <c r="BO69">
        <f t="shared" si="79"/>
        <v>0</v>
      </c>
      <c r="BP69" s="49">
        <f t="shared" si="79"/>
        <v>0</v>
      </c>
    </row>
    <row r="70" spans="1:68" ht="12.75">
      <c r="A70">
        <v>62</v>
      </c>
      <c r="C70" t="s">
        <v>39</v>
      </c>
      <c r="D70" s="21"/>
      <c r="E70" s="21"/>
      <c r="F70" s="135"/>
      <c r="H70" s="34"/>
      <c r="I70" s="33"/>
      <c r="J70" s="226">
        <f t="shared" si="69"/>
        <v>0</v>
      </c>
      <c r="K70" s="135"/>
      <c r="M70" s="21"/>
      <c r="N70" s="21">
        <f t="shared" si="70"/>
        <v>0</v>
      </c>
      <c r="O70" s="21">
        <f t="shared" si="71"/>
        <v>0</v>
      </c>
      <c r="P70" s="36">
        <f>Q70*P9*O70</f>
        <v>0</v>
      </c>
      <c r="Q70" s="21">
        <v>60</v>
      </c>
      <c r="R70" s="24">
        <f t="shared" si="80"/>
        <v>0</v>
      </c>
      <c r="S70" s="21">
        <f>O70*4</f>
        <v>0</v>
      </c>
      <c r="T70" s="21">
        <f>O70*2</f>
        <v>0</v>
      </c>
      <c r="U70" s="25"/>
      <c r="V70" s="25"/>
      <c r="W70" s="21"/>
      <c r="Z70" s="34"/>
      <c r="AA70" s="33"/>
      <c r="AB70" s="226">
        <f t="shared" si="72"/>
        <v>0</v>
      </c>
      <c r="AC70" s="135"/>
      <c r="AE70" s="21"/>
      <c r="AF70" s="21">
        <f t="shared" si="73"/>
        <v>0</v>
      </c>
      <c r="AG70" s="21">
        <f t="shared" si="74"/>
        <v>0</v>
      </c>
      <c r="AH70" s="36">
        <f>AI70*AH9*AG70</f>
        <v>0</v>
      </c>
      <c r="AI70" s="21">
        <v>60</v>
      </c>
      <c r="AJ70" s="24">
        <f t="shared" si="81"/>
        <v>0</v>
      </c>
      <c r="AK70" s="21">
        <f>AG70*4</f>
        <v>0</v>
      </c>
      <c r="AL70" s="21">
        <f>AG70*2</f>
        <v>0</v>
      </c>
      <c r="AM70" s="25"/>
      <c r="AN70" s="25"/>
      <c r="AO70" s="21"/>
      <c r="AR70" s="34"/>
      <c r="AS70" s="33"/>
      <c r="AT70" s="226">
        <f t="shared" si="75"/>
        <v>0</v>
      </c>
      <c r="AU70" s="135"/>
      <c r="AW70" s="21"/>
      <c r="AX70" s="21">
        <f t="shared" si="76"/>
        <v>0</v>
      </c>
      <c r="AY70" s="21">
        <f t="shared" si="77"/>
        <v>0</v>
      </c>
      <c r="AZ70" s="36">
        <f>BA70*AZ9*AY70</f>
        <v>0</v>
      </c>
      <c r="BA70" s="21">
        <v>60</v>
      </c>
      <c r="BB70" s="24">
        <f t="shared" si="82"/>
        <v>0</v>
      </c>
      <c r="BC70" s="21">
        <f>AY70*4</f>
        <v>0</v>
      </c>
      <c r="BD70" s="21">
        <f>AY70*2</f>
        <v>0</v>
      </c>
      <c r="BE70" s="25"/>
      <c r="BM70" s="21"/>
      <c r="BN70" s="24">
        <f t="shared" si="78"/>
        <v>0</v>
      </c>
      <c r="BO70">
        <f t="shared" si="79"/>
        <v>0</v>
      </c>
      <c r="BP70" s="49">
        <f t="shared" si="79"/>
        <v>0</v>
      </c>
    </row>
    <row r="71" spans="1:68" ht="12.75">
      <c r="A71">
        <v>63</v>
      </c>
      <c r="C71" t="s">
        <v>40</v>
      </c>
      <c r="D71" s="21"/>
      <c r="E71" s="21"/>
      <c r="F71" s="135"/>
      <c r="H71" s="34"/>
      <c r="I71" s="33"/>
      <c r="J71" s="226">
        <f t="shared" si="69"/>
        <v>0</v>
      </c>
      <c r="K71" s="135"/>
      <c r="M71" s="21"/>
      <c r="N71" s="21">
        <f t="shared" si="70"/>
        <v>0</v>
      </c>
      <c r="O71" s="21">
        <f t="shared" si="71"/>
        <v>0</v>
      </c>
      <c r="P71" s="36">
        <f>Q71*O71</f>
        <v>0</v>
      </c>
      <c r="Q71" s="21">
        <v>30</v>
      </c>
      <c r="R71" s="24">
        <f t="shared" si="80"/>
        <v>0</v>
      </c>
      <c r="S71" s="21">
        <f>O71*1</f>
        <v>0</v>
      </c>
      <c r="T71" s="21">
        <f>O71*2</f>
        <v>0</v>
      </c>
      <c r="U71" s="21"/>
      <c r="V71" s="21"/>
      <c r="W71" s="21"/>
      <c r="Z71" s="34"/>
      <c r="AA71" s="33"/>
      <c r="AB71" s="226">
        <f t="shared" si="72"/>
        <v>0</v>
      </c>
      <c r="AC71" s="135"/>
      <c r="AE71" s="21"/>
      <c r="AF71" s="21">
        <f t="shared" si="73"/>
        <v>0</v>
      </c>
      <c r="AG71" s="21">
        <f t="shared" si="74"/>
        <v>0</v>
      </c>
      <c r="AH71" s="36">
        <f>AI71*AG71</f>
        <v>0</v>
      </c>
      <c r="AI71" s="21">
        <v>30</v>
      </c>
      <c r="AJ71" s="24">
        <f t="shared" si="81"/>
        <v>0</v>
      </c>
      <c r="AK71" s="21">
        <f>AG71*1</f>
        <v>0</v>
      </c>
      <c r="AL71" s="21">
        <f>AG71*2</f>
        <v>0</v>
      </c>
      <c r="AM71" s="21"/>
      <c r="AN71" s="21"/>
      <c r="AO71" s="21"/>
      <c r="AR71" s="34"/>
      <c r="AS71" s="33"/>
      <c r="AT71" s="226">
        <f t="shared" si="75"/>
        <v>0</v>
      </c>
      <c r="AU71" s="135"/>
      <c r="AW71" s="21"/>
      <c r="AX71" s="21">
        <f t="shared" si="76"/>
        <v>0</v>
      </c>
      <c r="AY71" s="21">
        <f t="shared" si="77"/>
        <v>0</v>
      </c>
      <c r="AZ71" s="36">
        <f>BA71*AY71</f>
        <v>0</v>
      </c>
      <c r="BA71" s="21">
        <v>30</v>
      </c>
      <c r="BB71" s="24">
        <f t="shared" si="82"/>
        <v>0</v>
      </c>
      <c r="BC71" s="21">
        <f>AY71*1</f>
        <v>0</v>
      </c>
      <c r="BD71" s="21">
        <f>AY71*2</f>
        <v>0</v>
      </c>
      <c r="BE71" s="21"/>
      <c r="BM71" s="21"/>
      <c r="BN71" s="24">
        <f t="shared" si="78"/>
        <v>0</v>
      </c>
      <c r="BO71">
        <f t="shared" si="79"/>
        <v>0</v>
      </c>
      <c r="BP71" s="49">
        <f t="shared" si="79"/>
        <v>0</v>
      </c>
    </row>
    <row r="72" spans="1:68" ht="12.75">
      <c r="A72">
        <v>64</v>
      </c>
      <c r="C72" t="s">
        <v>41</v>
      </c>
      <c r="D72" s="21"/>
      <c r="E72" s="21"/>
      <c r="F72" s="135"/>
      <c r="H72" s="34"/>
      <c r="I72" s="33"/>
      <c r="J72" s="226">
        <f t="shared" si="69"/>
        <v>0</v>
      </c>
      <c r="K72" s="135"/>
      <c r="M72" s="21"/>
      <c r="N72" s="21">
        <f t="shared" si="70"/>
        <v>0</v>
      </c>
      <c r="O72" s="21">
        <f t="shared" si="71"/>
        <v>0</v>
      </c>
      <c r="P72" s="36">
        <f>Q72*O72</f>
        <v>0</v>
      </c>
      <c r="Q72" s="21">
        <v>60</v>
      </c>
      <c r="R72" s="24">
        <f t="shared" si="80"/>
        <v>0</v>
      </c>
      <c r="S72" s="21">
        <f>O72*1</f>
        <v>0</v>
      </c>
      <c r="T72" s="21">
        <f>O72*1</f>
        <v>0</v>
      </c>
      <c r="U72" s="21"/>
      <c r="V72" s="21"/>
      <c r="W72" s="21"/>
      <c r="Z72" s="34"/>
      <c r="AA72" s="33"/>
      <c r="AB72" s="226">
        <f t="shared" si="72"/>
        <v>0</v>
      </c>
      <c r="AC72" s="135"/>
      <c r="AE72" s="21"/>
      <c r="AF72" s="21">
        <f t="shared" si="73"/>
        <v>0</v>
      </c>
      <c r="AG72" s="21">
        <f t="shared" si="74"/>
        <v>0</v>
      </c>
      <c r="AH72" s="36">
        <f>AI72*AG72</f>
        <v>0</v>
      </c>
      <c r="AI72" s="21">
        <v>60</v>
      </c>
      <c r="AJ72" s="24">
        <f t="shared" si="81"/>
        <v>0</v>
      </c>
      <c r="AK72" s="21">
        <f>AG72*1</f>
        <v>0</v>
      </c>
      <c r="AL72" s="21">
        <f>AG72*1</f>
        <v>0</v>
      </c>
      <c r="AM72" s="21"/>
      <c r="AN72" s="21"/>
      <c r="AO72" s="21"/>
      <c r="AR72" s="34"/>
      <c r="AS72" s="33"/>
      <c r="AT72" s="226">
        <f t="shared" si="75"/>
        <v>0</v>
      </c>
      <c r="AU72" s="135"/>
      <c r="AW72" s="21"/>
      <c r="AX72" s="21">
        <f t="shared" si="76"/>
        <v>0</v>
      </c>
      <c r="AY72" s="21">
        <f t="shared" si="77"/>
        <v>0</v>
      </c>
      <c r="AZ72" s="36">
        <f>BA72*AY72</f>
        <v>0</v>
      </c>
      <c r="BA72" s="21">
        <v>60</v>
      </c>
      <c r="BB72" s="24">
        <f t="shared" si="82"/>
        <v>0</v>
      </c>
      <c r="BC72" s="21">
        <f>AY72*1</f>
        <v>0</v>
      </c>
      <c r="BD72" s="21">
        <f>AY72*1</f>
        <v>0</v>
      </c>
      <c r="BE72" s="21"/>
      <c r="BM72" s="21"/>
      <c r="BN72" s="24">
        <f t="shared" si="78"/>
        <v>0</v>
      </c>
      <c r="BO72">
        <f t="shared" si="79"/>
        <v>0</v>
      </c>
      <c r="BP72" s="49">
        <f t="shared" si="79"/>
        <v>0</v>
      </c>
    </row>
    <row r="73" spans="1:68" ht="12.75">
      <c r="A73">
        <v>65</v>
      </c>
      <c r="C73" t="s">
        <v>42</v>
      </c>
      <c r="D73" s="21"/>
      <c r="E73" s="21"/>
      <c r="F73" s="135"/>
      <c r="H73" s="34"/>
      <c r="I73" s="33"/>
      <c r="J73" s="226">
        <f t="shared" si="69"/>
        <v>0</v>
      </c>
      <c r="K73" s="135"/>
      <c r="M73" s="21"/>
      <c r="N73" s="21">
        <f t="shared" si="70"/>
        <v>0</v>
      </c>
      <c r="O73" s="21">
        <f t="shared" si="71"/>
        <v>0</v>
      </c>
      <c r="P73" s="36">
        <f>Q73*O73</f>
        <v>0</v>
      </c>
      <c r="Q73" s="21">
        <v>60</v>
      </c>
      <c r="R73" s="24">
        <f t="shared" si="80"/>
        <v>0</v>
      </c>
      <c r="S73" s="21">
        <f>O73*1</f>
        <v>0</v>
      </c>
      <c r="T73" s="21">
        <f>O73*2</f>
        <v>0</v>
      </c>
      <c r="U73" s="21"/>
      <c r="V73" s="21"/>
      <c r="W73" s="21"/>
      <c r="Z73" s="34"/>
      <c r="AA73" s="33"/>
      <c r="AB73" s="226">
        <f t="shared" si="72"/>
        <v>0</v>
      </c>
      <c r="AC73" s="135"/>
      <c r="AE73" s="21"/>
      <c r="AF73" s="21">
        <f t="shared" si="73"/>
        <v>0</v>
      </c>
      <c r="AG73" s="21">
        <f t="shared" si="74"/>
        <v>0</v>
      </c>
      <c r="AH73" s="36">
        <f>AI73*AG73</f>
        <v>0</v>
      </c>
      <c r="AI73" s="21">
        <v>60</v>
      </c>
      <c r="AJ73" s="24">
        <f t="shared" si="81"/>
        <v>0</v>
      </c>
      <c r="AK73" s="21">
        <f>AG73*1</f>
        <v>0</v>
      </c>
      <c r="AL73" s="21">
        <f>AG73*2</f>
        <v>0</v>
      </c>
      <c r="AM73" s="21"/>
      <c r="AN73" s="21"/>
      <c r="AO73" s="21"/>
      <c r="AR73" s="34"/>
      <c r="AS73" s="33"/>
      <c r="AT73" s="226">
        <f t="shared" si="75"/>
        <v>0</v>
      </c>
      <c r="AU73" s="135"/>
      <c r="AW73" s="21"/>
      <c r="AX73" s="21">
        <f t="shared" si="76"/>
        <v>0</v>
      </c>
      <c r="AY73" s="21">
        <f t="shared" si="77"/>
        <v>0</v>
      </c>
      <c r="AZ73" s="36">
        <f>BA73*AY73</f>
        <v>0</v>
      </c>
      <c r="BA73" s="21">
        <v>60</v>
      </c>
      <c r="BB73" s="24">
        <f t="shared" si="82"/>
        <v>0</v>
      </c>
      <c r="BC73" s="21">
        <f>AY73*1</f>
        <v>0</v>
      </c>
      <c r="BD73" s="21">
        <f>AY73*2</f>
        <v>0</v>
      </c>
      <c r="BE73" s="21"/>
      <c r="BM73" s="21"/>
      <c r="BN73" s="24">
        <f t="shared" si="78"/>
        <v>0</v>
      </c>
      <c r="BO73">
        <f t="shared" si="79"/>
        <v>0</v>
      </c>
      <c r="BP73" s="49">
        <f t="shared" si="79"/>
        <v>0</v>
      </c>
    </row>
    <row r="74" spans="1:68" ht="12.75">
      <c r="A74">
        <v>66</v>
      </c>
      <c r="C74" t="s">
        <v>3</v>
      </c>
      <c r="D74" s="21"/>
      <c r="E74" s="21"/>
      <c r="F74" s="135"/>
      <c r="H74" s="34"/>
      <c r="I74" s="33"/>
      <c r="J74" s="226">
        <f t="shared" si="69"/>
        <v>0</v>
      </c>
      <c r="K74" s="135"/>
      <c r="M74" s="21"/>
      <c r="N74" s="21">
        <f t="shared" si="70"/>
        <v>0</v>
      </c>
      <c r="O74" s="21">
        <f t="shared" si="71"/>
        <v>0</v>
      </c>
      <c r="P74" s="36">
        <f>Q74*O74</f>
        <v>0</v>
      </c>
      <c r="Q74" s="21">
        <v>120</v>
      </c>
      <c r="R74" s="24">
        <f t="shared" si="80"/>
        <v>0</v>
      </c>
      <c r="S74" s="21"/>
      <c r="T74" s="21"/>
      <c r="U74" s="21"/>
      <c r="V74" s="21"/>
      <c r="W74" s="21"/>
      <c r="Z74" s="34"/>
      <c r="AA74" s="33"/>
      <c r="AB74" s="226">
        <f t="shared" si="72"/>
        <v>0</v>
      </c>
      <c r="AC74" s="135"/>
      <c r="AE74" s="21"/>
      <c r="AF74" s="21">
        <f t="shared" si="73"/>
        <v>0</v>
      </c>
      <c r="AG74" s="21">
        <f t="shared" si="74"/>
        <v>0</v>
      </c>
      <c r="AH74" s="36">
        <f>AI74*AG74</f>
        <v>0</v>
      </c>
      <c r="AI74" s="21">
        <v>120</v>
      </c>
      <c r="AJ74" s="24">
        <f t="shared" si="81"/>
        <v>0</v>
      </c>
      <c r="AK74" s="21"/>
      <c r="AL74" s="21"/>
      <c r="AM74" s="21"/>
      <c r="AN74" s="21"/>
      <c r="AO74" s="21"/>
      <c r="AR74" s="34"/>
      <c r="AS74" s="33"/>
      <c r="AT74" s="226">
        <f t="shared" si="75"/>
        <v>0</v>
      </c>
      <c r="AU74" s="135"/>
      <c r="AW74" s="21"/>
      <c r="AX74" s="21">
        <f t="shared" si="76"/>
        <v>0</v>
      </c>
      <c r="AY74" s="21">
        <f t="shared" si="77"/>
        <v>0</v>
      </c>
      <c r="AZ74" s="36">
        <f>BA74*AY74</f>
        <v>0</v>
      </c>
      <c r="BA74" s="21">
        <v>120</v>
      </c>
      <c r="BB74" s="24">
        <f t="shared" si="82"/>
        <v>0</v>
      </c>
      <c r="BC74" s="21"/>
      <c r="BD74" s="21"/>
      <c r="BE74" s="21"/>
      <c r="BM74" s="21"/>
      <c r="BN74" s="24">
        <f t="shared" si="78"/>
        <v>0</v>
      </c>
      <c r="BO74">
        <f t="shared" si="79"/>
        <v>0</v>
      </c>
      <c r="BP74" s="49">
        <f t="shared" si="79"/>
        <v>0</v>
      </c>
    </row>
    <row r="75" spans="4:68" ht="12.75">
      <c r="D75" s="21"/>
      <c r="E75" s="21"/>
      <c r="F75" s="135"/>
      <c r="H75" s="34"/>
      <c r="I75" s="33"/>
      <c r="J75" s="224"/>
      <c r="K75" s="135"/>
      <c r="M75" s="21"/>
      <c r="N75" s="21"/>
      <c r="O75" s="21"/>
      <c r="P75" s="36"/>
      <c r="Q75" s="21"/>
      <c r="R75" s="24"/>
      <c r="S75" s="21"/>
      <c r="T75" s="21"/>
      <c r="U75" s="21"/>
      <c r="V75" s="21"/>
      <c r="W75" s="21"/>
      <c r="Z75" s="34"/>
      <c r="AA75" s="33"/>
      <c r="AB75" s="224"/>
      <c r="AC75" s="135"/>
      <c r="AE75" s="21"/>
      <c r="AF75" s="21"/>
      <c r="AG75" s="21"/>
      <c r="AH75" s="36"/>
      <c r="AI75" s="21"/>
      <c r="AJ75" s="24"/>
      <c r="AK75" s="21"/>
      <c r="AL75" s="21"/>
      <c r="AM75" s="21"/>
      <c r="AN75" s="21"/>
      <c r="AO75" s="21"/>
      <c r="AR75" s="34"/>
      <c r="AS75" s="33"/>
      <c r="AT75" s="224"/>
      <c r="AU75" s="135"/>
      <c r="AW75" s="21"/>
      <c r="AX75" s="21"/>
      <c r="AY75" s="21"/>
      <c r="AZ75" s="36"/>
      <c r="BA75" s="21"/>
      <c r="BB75" s="24"/>
      <c r="BC75" s="21"/>
      <c r="BD75" s="21"/>
      <c r="BE75" s="21"/>
      <c r="BM75" s="21"/>
      <c r="BN75" s="24"/>
      <c r="BP75" s="49"/>
    </row>
    <row r="76" spans="1:68" ht="12.75">
      <c r="A76">
        <v>67</v>
      </c>
      <c r="C76" t="s">
        <v>43</v>
      </c>
      <c r="D76" s="21"/>
      <c r="E76" s="21"/>
      <c r="F76" s="135"/>
      <c r="H76" s="34">
        <f>IF(AND(O7=1,H$2&gt;1,$E10=1),1,0)</f>
        <v>0</v>
      </c>
      <c r="I76" s="33">
        <f>IF(H$3+$E$10&gt;1,1,0)</f>
        <v>0</v>
      </c>
      <c r="J76" s="47">
        <f>IF(H$4+$E$10&gt;1,1,0)</f>
        <v>0</v>
      </c>
      <c r="K76" s="140">
        <f>IF(H$5+$E$10&gt;1,1,0)</f>
        <v>0</v>
      </c>
      <c r="M76" s="21"/>
      <c r="N76" s="21">
        <f>SUM(F76:L76)</f>
        <v>0</v>
      </c>
      <c r="O76" s="21">
        <f>IF(AND(P$10&gt;0,$N76&gt;0),1,0)</f>
        <v>0</v>
      </c>
      <c r="P76" s="36">
        <f>Q76*O76</f>
        <v>0</v>
      </c>
      <c r="Q76" s="21">
        <v>120</v>
      </c>
      <c r="R76" s="24">
        <f>P76/50</f>
        <v>0</v>
      </c>
      <c r="S76" s="21">
        <f>O76*3</f>
        <v>0</v>
      </c>
      <c r="T76" s="21"/>
      <c r="U76" s="21"/>
      <c r="V76" s="21"/>
      <c r="W76" s="21"/>
      <c r="Z76" s="34">
        <f>IF(AND(AG7=1,Z$2&gt;1,$E10=1),1,0)</f>
        <v>0</v>
      </c>
      <c r="AA76" s="33">
        <f>IF(Z$3+$E$10&gt;1,1,0)</f>
        <v>0</v>
      </c>
      <c r="AB76" s="47">
        <f>IF(Z$4+$E$10&gt;1,1,0)</f>
        <v>0</v>
      </c>
      <c r="AC76" s="140">
        <f>IF(Z$5+$E$10&gt;1,1,0)</f>
        <v>0</v>
      </c>
      <c r="AE76" s="21"/>
      <c r="AF76" s="21">
        <f>SUM(X76:AD76)</f>
        <v>0</v>
      </c>
      <c r="AG76" s="21">
        <f>IF(AND(AH$10&gt;0,$N76&gt;0),1,0)</f>
        <v>0</v>
      </c>
      <c r="AH76" s="36">
        <f>AI76*AG76</f>
        <v>0</v>
      </c>
      <c r="AI76" s="21">
        <v>120</v>
      </c>
      <c r="AJ76" s="24">
        <f>AH76/50</f>
        <v>0</v>
      </c>
      <c r="AK76" s="21">
        <f>AG76*3</f>
        <v>0</v>
      </c>
      <c r="AL76" s="21"/>
      <c r="AM76" s="21"/>
      <c r="AN76" s="21"/>
      <c r="AO76" s="21"/>
      <c r="AR76" s="34">
        <f>IF(AND(AY7=1,AR$2&gt;1,$E10=1),1,0)</f>
        <v>0</v>
      </c>
      <c r="AS76" s="33">
        <f>IF(AR$3+$E$10&gt;1,1,0)</f>
        <v>0</v>
      </c>
      <c r="AT76" s="47">
        <f>IF(AR$4+$E$10&gt;1,1,0)</f>
        <v>0</v>
      </c>
      <c r="AU76" s="140">
        <f>IF(AR$5+$E$10&gt;1,1,0)</f>
        <v>0</v>
      </c>
      <c r="AW76" s="21"/>
      <c r="AX76" s="21">
        <f>SUM(AP76:AV76)</f>
        <v>0</v>
      </c>
      <c r="AY76" s="21">
        <f>IF(AND(AZ$10&gt;0,$N76&gt;0),1,0)</f>
        <v>0</v>
      </c>
      <c r="AZ76" s="36">
        <f>BA76*AY76</f>
        <v>0</v>
      </c>
      <c r="BA76" s="21">
        <v>180</v>
      </c>
      <c r="BB76" s="24">
        <f>AZ76/50</f>
        <v>0</v>
      </c>
      <c r="BC76" s="21">
        <f>AY76*3</f>
        <v>0</v>
      </c>
      <c r="BD76" s="21"/>
      <c r="BE76" s="21"/>
      <c r="BM76" s="21"/>
      <c r="BN76" s="24">
        <f>R76+AJ76+BB76</f>
        <v>0</v>
      </c>
      <c r="BO76">
        <f>O76+AG76+AY76</f>
        <v>0</v>
      </c>
      <c r="BP76" s="49">
        <f>P76+AH76+AZ76</f>
        <v>0</v>
      </c>
    </row>
    <row r="77" spans="4:68" ht="12.75">
      <c r="D77" s="21"/>
      <c r="E77" s="21"/>
      <c r="F77" s="135"/>
      <c r="H77" s="34"/>
      <c r="I77" s="33"/>
      <c r="J77" s="224"/>
      <c r="K77" s="135"/>
      <c r="M77" s="21"/>
      <c r="N77" s="21"/>
      <c r="O77" s="21"/>
      <c r="P77" s="36"/>
      <c r="Q77" s="21"/>
      <c r="R77" s="24"/>
      <c r="S77" s="21"/>
      <c r="T77" s="21"/>
      <c r="U77" s="21"/>
      <c r="V77" s="21"/>
      <c r="W77" s="21"/>
      <c r="Z77" s="34"/>
      <c r="AA77" s="33"/>
      <c r="AB77" s="224"/>
      <c r="AC77" s="135"/>
      <c r="AE77" s="21"/>
      <c r="AF77" s="21"/>
      <c r="AG77" s="21"/>
      <c r="AH77" s="36"/>
      <c r="AI77" s="21"/>
      <c r="AJ77" s="24"/>
      <c r="AK77" s="21"/>
      <c r="AL77" s="21"/>
      <c r="AM77" s="21"/>
      <c r="AN77" s="21"/>
      <c r="AO77" s="21"/>
      <c r="AR77" s="34"/>
      <c r="AS77" s="33"/>
      <c r="AT77" s="224"/>
      <c r="AU77" s="135"/>
      <c r="AW77" s="21"/>
      <c r="AX77" s="21"/>
      <c r="AY77" s="21"/>
      <c r="AZ77" s="36"/>
      <c r="BA77" s="21"/>
      <c r="BB77" s="24"/>
      <c r="BC77" s="21"/>
      <c r="BD77" s="21"/>
      <c r="BE77" s="21"/>
      <c r="BM77" s="21"/>
      <c r="BN77" s="24"/>
      <c r="BP77" s="49"/>
    </row>
    <row r="78" spans="3:68" ht="12.75">
      <c r="C78" s="29" t="s">
        <v>558</v>
      </c>
      <c r="D78" s="23"/>
      <c r="E78" s="23"/>
      <c r="F78" s="6"/>
      <c r="H78" s="220" t="s">
        <v>538</v>
      </c>
      <c r="I78" s="221" t="s">
        <v>537</v>
      </c>
      <c r="J78" s="223" t="s">
        <v>536</v>
      </c>
      <c r="K78" s="219" t="s">
        <v>64</v>
      </c>
      <c r="M78" s="21"/>
      <c r="N78" s="21"/>
      <c r="O78" s="21"/>
      <c r="P78" s="36"/>
      <c r="Q78" s="21"/>
      <c r="R78" s="24"/>
      <c r="S78" s="21"/>
      <c r="T78" s="21"/>
      <c r="U78" s="21"/>
      <c r="V78" s="21"/>
      <c r="W78" s="23"/>
      <c r="Z78" s="220" t="s">
        <v>538</v>
      </c>
      <c r="AA78" s="221" t="s">
        <v>537</v>
      </c>
      <c r="AB78" s="223" t="s">
        <v>536</v>
      </c>
      <c r="AC78" s="219" t="s">
        <v>64</v>
      </c>
      <c r="AE78" s="21"/>
      <c r="AF78" s="21"/>
      <c r="AG78" s="21"/>
      <c r="AH78" s="36"/>
      <c r="AI78" s="21"/>
      <c r="AJ78" s="24"/>
      <c r="AK78" s="21"/>
      <c r="AL78" s="21"/>
      <c r="AM78" s="21"/>
      <c r="AN78" s="21"/>
      <c r="AO78" s="23"/>
      <c r="AR78" s="220" t="s">
        <v>538</v>
      </c>
      <c r="AS78" s="221" t="s">
        <v>537</v>
      </c>
      <c r="AT78" s="223" t="s">
        <v>536</v>
      </c>
      <c r="AU78" s="219" t="s">
        <v>64</v>
      </c>
      <c r="AW78" s="21"/>
      <c r="AX78" s="21"/>
      <c r="AY78" s="21"/>
      <c r="AZ78" s="36"/>
      <c r="BA78" s="21"/>
      <c r="BB78" s="24"/>
      <c r="BC78" s="21"/>
      <c r="BD78" s="21"/>
      <c r="BE78" s="21"/>
      <c r="BM78" s="21"/>
      <c r="BN78" s="24"/>
      <c r="BP78" s="49"/>
    </row>
    <row r="79" spans="1:69" ht="12.75">
      <c r="A79">
        <v>68</v>
      </c>
      <c r="C79" t="s">
        <v>45</v>
      </c>
      <c r="D79" s="21"/>
      <c r="E79" s="21"/>
      <c r="F79" s="135"/>
      <c r="H79" s="34">
        <f>IF(H$2+$E$9&gt;1,1,0)</f>
        <v>0</v>
      </c>
      <c r="I79" s="33">
        <f>IF(H$3+$E$9&gt;1,1,0)</f>
        <v>0</v>
      </c>
      <c r="J79" s="47">
        <f>IF(H$4+$E$9&gt;1,1,0)</f>
        <v>0</v>
      </c>
      <c r="K79" s="18"/>
      <c r="M79" s="21"/>
      <c r="N79" s="21">
        <f>SUM(F79:L79)</f>
        <v>0</v>
      </c>
      <c r="O79" s="21">
        <f>IF(AND(P$10&gt;0,$N79&gt;0),1,0)</f>
        <v>0</v>
      </c>
      <c r="P79" s="36">
        <f>(Q79)*(0.5+(P10/30))*O79</f>
        <v>0</v>
      </c>
      <c r="Q79" s="21">
        <f>270+(4.8*$F$11)</f>
        <v>558</v>
      </c>
      <c r="R79" s="24">
        <f>P79/50</f>
        <v>0</v>
      </c>
      <c r="S79" s="21">
        <f>O79*1</f>
        <v>0</v>
      </c>
      <c r="T79" s="21">
        <f>O79*1</f>
        <v>0</v>
      </c>
      <c r="U79" s="21"/>
      <c r="V79" s="21"/>
      <c r="W79" s="21"/>
      <c r="Z79" s="34">
        <f>IF(Z$2+$E$9&gt;1,1,0)</f>
        <v>0</v>
      </c>
      <c r="AA79" s="33">
        <f>IF(Z$3+$E$9&gt;1,1,0)</f>
        <v>0</v>
      </c>
      <c r="AB79" s="47">
        <f>IF(Z$4+$E$9&gt;1,1,0)</f>
        <v>0</v>
      </c>
      <c r="AC79" s="18"/>
      <c r="AE79" s="21"/>
      <c r="AF79" s="21">
        <f>SUM(X79:AD79)</f>
        <v>0</v>
      </c>
      <c r="AG79" s="21">
        <f>IF(AND(AH$10&gt;0,$N79&gt;0),1,0)</f>
        <v>0</v>
      </c>
      <c r="AH79" s="36">
        <f>(AI79)*(0.5+(AH10/30))*AG79</f>
        <v>0</v>
      </c>
      <c r="AI79" s="21">
        <f>270+(4.8*$F$11)</f>
        <v>558</v>
      </c>
      <c r="AJ79" s="24">
        <f>AH79/50</f>
        <v>0</v>
      </c>
      <c r="AK79" s="21">
        <f>AG79*1</f>
        <v>0</v>
      </c>
      <c r="AL79" s="21">
        <f>AG79*1</f>
        <v>0</v>
      </c>
      <c r="AM79" s="21"/>
      <c r="AN79" s="21"/>
      <c r="AO79" s="21"/>
      <c r="AR79" s="34">
        <f>IF(AR$2+$E$9&gt;1,1,0)</f>
        <v>0</v>
      </c>
      <c r="AS79" s="33">
        <f>IF(AR$3+$E$9&gt;1,1,0)</f>
        <v>0</v>
      </c>
      <c r="AT79" s="47">
        <f>IF(AR$4+$E$9&gt;1,1,0)</f>
        <v>0</v>
      </c>
      <c r="AU79" s="18"/>
      <c r="AW79" s="21"/>
      <c r="AX79" s="21">
        <f>SUM(AP79:AV79)</f>
        <v>0</v>
      </c>
      <c r="AY79" s="21">
        <f>IF(AND(AZ$10&gt;0,$N79&gt;0),1,0)</f>
        <v>0</v>
      </c>
      <c r="AZ79" s="36">
        <f>(BA79)*(0.5+(AZ10/30))*AY79</f>
        <v>0</v>
      </c>
      <c r="BA79" s="21">
        <f>270+(4.8*$F$11)</f>
        <v>558</v>
      </c>
      <c r="BB79" s="24">
        <f>AZ79/50</f>
        <v>0</v>
      </c>
      <c r="BC79" s="21">
        <f>AY79*1</f>
        <v>0</v>
      </c>
      <c r="BD79" s="21">
        <f>AY79*1</f>
        <v>0</v>
      </c>
      <c r="BE79" s="21"/>
      <c r="BM79" s="21"/>
      <c r="BN79" s="24">
        <f>R79+AJ79+BB79</f>
        <v>0</v>
      </c>
      <c r="BO79">
        <f>O79+AG79+AY79</f>
        <v>0</v>
      </c>
      <c r="BP79" s="276">
        <f>P79+AH79+AZ79+P100+AH100+AZ100</f>
        <v>0</v>
      </c>
      <c r="BQ79" s="277" t="s">
        <v>462</v>
      </c>
    </row>
    <row r="80" spans="1:69" ht="12.75">
      <c r="A80">
        <v>69</v>
      </c>
      <c r="C80" t="s">
        <v>46</v>
      </c>
      <c r="D80" s="21"/>
      <c r="E80" s="21"/>
      <c r="F80" s="135"/>
      <c r="H80" s="34">
        <f>IF(H$2+$E$9&gt;1,1,0)</f>
        <v>0</v>
      </c>
      <c r="I80" s="33">
        <f>IF(H$3+$E$9&gt;1,1,0)</f>
        <v>0</v>
      </c>
      <c r="J80" s="47">
        <f>IF(H$4+$E$9&gt;1,1,0)</f>
        <v>0</v>
      </c>
      <c r="K80" s="18"/>
      <c r="M80" s="21"/>
      <c r="N80" s="21">
        <f>SUM(F80:L80)</f>
        <v>0</v>
      </c>
      <c r="O80" s="21">
        <f>IF(AND(P$10&gt;0,$N80&gt;0),1,0)</f>
        <v>0</v>
      </c>
      <c r="P80" s="36">
        <f>(Q80)*(0.5+(P10/30))*O80</f>
        <v>0</v>
      </c>
      <c r="Q80" s="21">
        <f>290+(5.2*$F$11)</f>
        <v>602</v>
      </c>
      <c r="R80" s="24">
        <f>P80/50</f>
        <v>0</v>
      </c>
      <c r="S80" s="21">
        <f>O80*4</f>
        <v>0</v>
      </c>
      <c r="T80" s="21">
        <f>O80*4</f>
        <v>0</v>
      </c>
      <c r="U80" s="21"/>
      <c r="V80" s="21"/>
      <c r="W80" s="21"/>
      <c r="Z80" s="34">
        <f>IF(Z$2+$E$9&gt;1,1,0)</f>
        <v>0</v>
      </c>
      <c r="AA80" s="33">
        <f>IF(Z$3+$E$9&gt;1,1,0)</f>
        <v>0</v>
      </c>
      <c r="AB80" s="47">
        <f>IF(Z$4+$E$9&gt;1,1,0)</f>
        <v>0</v>
      </c>
      <c r="AC80" s="18"/>
      <c r="AE80" s="21"/>
      <c r="AF80" s="21">
        <f>SUM(X80:AD80)</f>
        <v>0</v>
      </c>
      <c r="AG80" s="21">
        <f>IF(AND(AH$10&gt;0,$N80&gt;0),1,0)</f>
        <v>0</v>
      </c>
      <c r="AH80" s="36">
        <f>(AI80)*(0.5+(AH10/30))*AG80</f>
        <v>0</v>
      </c>
      <c r="AI80" s="21">
        <f>290+(5.2*$F$11)</f>
        <v>602</v>
      </c>
      <c r="AJ80" s="24">
        <f>AH80/50</f>
        <v>0</v>
      </c>
      <c r="AK80" s="21">
        <f>AG80*4</f>
        <v>0</v>
      </c>
      <c r="AL80" s="21">
        <f>AG80*4</f>
        <v>0</v>
      </c>
      <c r="AM80" s="21"/>
      <c r="AN80" s="21"/>
      <c r="AO80" s="21"/>
      <c r="AR80" s="34">
        <f>IF(AR$2+$E$9&gt;1,1,0)</f>
        <v>0</v>
      </c>
      <c r="AS80" s="33">
        <f>IF(AR$3+$E$9&gt;1,1,0)</f>
        <v>0</v>
      </c>
      <c r="AT80" s="47">
        <f>IF(AR$4+$E$9&gt;1,1,0)</f>
        <v>0</v>
      </c>
      <c r="AU80" s="18"/>
      <c r="AW80" s="21"/>
      <c r="AX80" s="21">
        <f>SUM(AP80:AV80)</f>
        <v>0</v>
      </c>
      <c r="AY80" s="21">
        <f>IF(AND(AZ$10&gt;0,$N80&gt;0),1,0)</f>
        <v>0</v>
      </c>
      <c r="AZ80" s="36">
        <f>(BA80)*(0.5+(AZ10/30))*AY80</f>
        <v>0</v>
      </c>
      <c r="BA80" s="21">
        <f>290+(5.2*$F$11)</f>
        <v>602</v>
      </c>
      <c r="BB80" s="24">
        <f>AZ80/50</f>
        <v>0</v>
      </c>
      <c r="BC80" s="21">
        <f>AY80*4</f>
        <v>0</v>
      </c>
      <c r="BD80" s="21">
        <f>AY80*4</f>
        <v>0</v>
      </c>
      <c r="BE80" s="21"/>
      <c r="BM80" s="21"/>
      <c r="BN80" s="24">
        <f>R80+AJ80+BB80</f>
        <v>0</v>
      </c>
      <c r="BO80">
        <f>O80+AG80+AY80</f>
        <v>0</v>
      </c>
      <c r="BP80" s="276">
        <f>P80+AH80+AZ80+P101+AH101+AZ101</f>
        <v>0</v>
      </c>
      <c r="BQ80" s="277" t="s">
        <v>463</v>
      </c>
    </row>
    <row r="81" spans="4:68" ht="12.75">
      <c r="D81" s="47"/>
      <c r="E81" s="21"/>
      <c r="F81" s="135"/>
      <c r="H81" s="34"/>
      <c r="I81" s="33"/>
      <c r="J81" s="224"/>
      <c r="K81" s="135"/>
      <c r="M81" s="21"/>
      <c r="N81" s="21"/>
      <c r="O81" s="21"/>
      <c r="P81" s="36"/>
      <c r="Q81" s="21"/>
      <c r="R81" s="24"/>
      <c r="S81" s="21"/>
      <c r="T81" s="21"/>
      <c r="U81" s="21"/>
      <c r="V81" s="21"/>
      <c r="W81" s="21"/>
      <c r="Z81" s="34"/>
      <c r="AA81" s="33"/>
      <c r="AB81" s="224"/>
      <c r="AC81" s="135"/>
      <c r="AE81" s="21"/>
      <c r="AF81" s="21"/>
      <c r="AG81" s="21"/>
      <c r="AH81" s="36"/>
      <c r="AI81" s="21"/>
      <c r="AJ81" s="24"/>
      <c r="AK81" s="21"/>
      <c r="AL81" s="21"/>
      <c r="AM81" s="21"/>
      <c r="AN81" s="21"/>
      <c r="AO81" s="21"/>
      <c r="AR81" s="34"/>
      <c r="AS81" s="33"/>
      <c r="AT81" s="224"/>
      <c r="AU81" s="135"/>
      <c r="AW81" s="21"/>
      <c r="AX81" s="21"/>
      <c r="AY81" s="21"/>
      <c r="AZ81" s="36"/>
      <c r="BA81" s="21"/>
      <c r="BB81" s="24"/>
      <c r="BC81" s="21"/>
      <c r="BD81" s="21"/>
      <c r="BE81" s="21"/>
      <c r="BF81" s="21"/>
      <c r="BG81" s="21"/>
      <c r="BH81" s="36"/>
      <c r="BI81" s="21"/>
      <c r="BJ81" s="24"/>
      <c r="BK81" s="21"/>
      <c r="BL81" s="21"/>
      <c r="BM81" s="21"/>
      <c r="BN81" s="24"/>
      <c r="BP81" s="49"/>
    </row>
    <row r="82" spans="3:68" ht="12.75">
      <c r="C82" s="29" t="s">
        <v>103</v>
      </c>
      <c r="D82" s="136"/>
      <c r="E82" s="23"/>
      <c r="F82" s="6"/>
      <c r="H82" s="220" t="s">
        <v>538</v>
      </c>
      <c r="I82" s="221" t="s">
        <v>537</v>
      </c>
      <c r="J82" s="223" t="s">
        <v>536</v>
      </c>
      <c r="K82" s="219" t="s">
        <v>64</v>
      </c>
      <c r="M82" s="21"/>
      <c r="N82" s="21"/>
      <c r="O82" s="21"/>
      <c r="P82" s="36"/>
      <c r="Q82" s="21"/>
      <c r="R82" s="24"/>
      <c r="S82" s="21"/>
      <c r="T82" s="21"/>
      <c r="U82" s="21"/>
      <c r="V82" s="21"/>
      <c r="W82" s="23"/>
      <c r="Z82" s="220" t="s">
        <v>538</v>
      </c>
      <c r="AA82" s="221" t="s">
        <v>537</v>
      </c>
      <c r="AB82" s="223" t="s">
        <v>536</v>
      </c>
      <c r="AC82" s="219" t="s">
        <v>64</v>
      </c>
      <c r="AE82" s="21"/>
      <c r="AF82" s="21"/>
      <c r="AG82" s="21"/>
      <c r="AH82" s="36"/>
      <c r="AI82" s="21"/>
      <c r="AJ82" s="24"/>
      <c r="AK82" s="21"/>
      <c r="AL82" s="21"/>
      <c r="AM82" s="21"/>
      <c r="AN82" s="21"/>
      <c r="AO82" s="23"/>
      <c r="AR82" s="220" t="s">
        <v>538</v>
      </c>
      <c r="AS82" s="221" t="s">
        <v>537</v>
      </c>
      <c r="AT82" s="223" t="s">
        <v>536</v>
      </c>
      <c r="AU82" s="219" t="s">
        <v>64</v>
      </c>
      <c r="AW82" s="21"/>
      <c r="AX82" s="21"/>
      <c r="AY82" s="21"/>
      <c r="AZ82" s="36"/>
      <c r="BA82" s="21"/>
      <c r="BB82" s="24"/>
      <c r="BC82" s="21"/>
      <c r="BD82" s="21"/>
      <c r="BE82" s="21"/>
      <c r="BF82" s="240" t="s">
        <v>60</v>
      </c>
      <c r="BG82" s="241" t="s">
        <v>66</v>
      </c>
      <c r="BH82" s="46" t="s">
        <v>76</v>
      </c>
      <c r="BI82" s="21" t="s">
        <v>68</v>
      </c>
      <c r="BK82" s="23" t="s">
        <v>4</v>
      </c>
      <c r="BL82" s="23" t="s">
        <v>5</v>
      </c>
      <c r="BM82" s="21"/>
      <c r="BN82" s="23" t="s">
        <v>67</v>
      </c>
      <c r="BP82" s="49"/>
    </row>
    <row r="83" spans="1:69" ht="12.75">
      <c r="A83">
        <v>14</v>
      </c>
      <c r="C83" t="s">
        <v>49</v>
      </c>
      <c r="D83" s="47">
        <f>IF(AND(Etude!$M$49=TRUE,Etude!$Q27=FALSE),1,0)</f>
        <v>0</v>
      </c>
      <c r="E83" s="21">
        <f>IF(Etude!G$10=1,0,D83)</f>
        <v>0</v>
      </c>
      <c r="F83" s="135"/>
      <c r="G83" s="227"/>
      <c r="H83" s="34"/>
      <c r="I83" s="33">
        <f aca="true" t="shared" si="83" ref="I83:I88">IF(H$3+$E$9&gt;1,1,0)</f>
        <v>0</v>
      </c>
      <c r="J83" s="47">
        <f aca="true" t="shared" si="84" ref="J83:J96">IF(H$4+$E$9&gt;1,1,0)</f>
        <v>0</v>
      </c>
      <c r="K83" s="135"/>
      <c r="M83" s="21"/>
      <c r="N83" s="21">
        <f aca="true" t="shared" si="85" ref="N83:N96">SUM(E83:L83)</f>
        <v>0</v>
      </c>
      <c r="O83" s="21">
        <f aca="true" t="shared" si="86" ref="O83:O96">IF(AND(P$10&gt;0,$N83&gt;0),1,0)</f>
        <v>0</v>
      </c>
      <c r="P83" s="36"/>
      <c r="Q83" s="21"/>
      <c r="R83" s="24"/>
      <c r="S83" s="21"/>
      <c r="T83" s="21"/>
      <c r="U83" s="21"/>
      <c r="V83" s="47">
        <f>IF(AND(Etude!$M$49=TRUE,Etude!$Q27=FALSE),1,0)</f>
        <v>0</v>
      </c>
      <c r="W83" s="21">
        <f>IF(Etude!M$10=1,0,V83)</f>
        <v>0</v>
      </c>
      <c r="Z83" s="34"/>
      <c r="AA83" s="33">
        <f aca="true" t="shared" si="87" ref="AA83:AA88">IF(Z$3+$E$9&gt;1,1,0)</f>
        <v>0</v>
      </c>
      <c r="AB83" s="47">
        <f aca="true" t="shared" si="88" ref="AB83:AB96">IF(Z$4+$E$9&gt;1,1,0)</f>
        <v>0</v>
      </c>
      <c r="AC83" s="135"/>
      <c r="AE83" s="21"/>
      <c r="AF83" s="21">
        <f aca="true" t="shared" si="89" ref="AF83:AF96">SUM(W83:AD83)</f>
        <v>0</v>
      </c>
      <c r="AG83" s="21">
        <f aca="true" t="shared" si="90" ref="AG83:AG96">IF(AND(AH$10&gt;0,$N83&gt;0),1,0)</f>
        <v>0</v>
      </c>
      <c r="AH83" s="36"/>
      <c r="AI83" s="21"/>
      <c r="AJ83" s="24"/>
      <c r="AK83" s="21"/>
      <c r="AL83" s="21"/>
      <c r="AM83" s="21"/>
      <c r="AN83" s="47">
        <f>IF(AND(Etude!$M$49=TRUE,Etude!$Q27=FALSE),1,0)</f>
        <v>0</v>
      </c>
      <c r="AO83" s="21">
        <f>IF(Etude!S$10=1,0,AN83)</f>
        <v>0</v>
      </c>
      <c r="AR83" s="34"/>
      <c r="AS83" s="33">
        <f aca="true" t="shared" si="91" ref="AS83:AS88">IF(AR$3+$E$9&gt;1,1,0)</f>
        <v>0</v>
      </c>
      <c r="AT83" s="47">
        <f aca="true" t="shared" si="92" ref="AT83:AT96">IF(AR$4+$E$9&gt;1,1,0)</f>
        <v>0</v>
      </c>
      <c r="AU83" s="135"/>
      <c r="AW83" s="21"/>
      <c r="AX83" s="21">
        <f aca="true" t="shared" si="93" ref="AX83:AX96">SUM(AO83:AV83)</f>
        <v>0</v>
      </c>
      <c r="AY83" s="21">
        <f aca="true" t="shared" si="94" ref="AY83:AY96">IF(AND(AZ$10&gt;0,$N83&gt;0),1,0)</f>
        <v>0</v>
      </c>
      <c r="AZ83" s="36"/>
      <c r="BA83" s="21"/>
      <c r="BB83" s="24"/>
      <c r="BC83" s="21"/>
      <c r="BD83" s="21"/>
      <c r="BE83" s="21"/>
      <c r="BF83" s="21">
        <f>SUM(E83:AV83)</f>
        <v>0</v>
      </c>
      <c r="BG83" s="21">
        <f>IF(AND(BN$10&gt;0,BF83&gt;0),1,0)</f>
        <v>0</v>
      </c>
      <c r="BH83" s="39">
        <f>BG83*(BI83+(BI83*0.02*BN$10))</f>
        <v>0</v>
      </c>
      <c r="BI83" s="21">
        <v>180</v>
      </c>
      <c r="BK83" s="21">
        <f aca="true" t="shared" si="95" ref="BK83:BK95">BG83*1</f>
        <v>0</v>
      </c>
      <c r="BL83" s="21">
        <f aca="true" t="shared" si="96" ref="BL83:BL95">BG83*1</f>
        <v>0</v>
      </c>
      <c r="BM83" s="21"/>
      <c r="BN83" s="24">
        <f aca="true" t="shared" si="97" ref="BN83:BN96">BH83/50</f>
        <v>0</v>
      </c>
      <c r="BO83">
        <f>BG83</f>
        <v>0</v>
      </c>
      <c r="BP83" s="404">
        <f>BH83</f>
        <v>0</v>
      </c>
      <c r="BQ83" s="278" t="s">
        <v>49</v>
      </c>
    </row>
    <row r="84" spans="1:69" ht="12.75">
      <c r="A84">
        <v>15</v>
      </c>
      <c r="C84" t="s">
        <v>50</v>
      </c>
      <c r="D84" s="47">
        <f>IF(AND(Etude!$M$50=TRUE,Etude!$Q27=FALSE),1,0)</f>
        <v>0</v>
      </c>
      <c r="E84" s="21">
        <f>IF(Etude!G$10=1,0,D84)</f>
        <v>0</v>
      </c>
      <c r="F84" s="135"/>
      <c r="G84" s="227"/>
      <c r="H84" s="34"/>
      <c r="I84" s="33">
        <f t="shared" si="83"/>
        <v>0</v>
      </c>
      <c r="J84" s="47">
        <f t="shared" si="84"/>
        <v>0</v>
      </c>
      <c r="K84" s="135"/>
      <c r="M84" s="21"/>
      <c r="N84" s="21">
        <f t="shared" si="85"/>
        <v>0</v>
      </c>
      <c r="O84" s="21">
        <f t="shared" si="86"/>
        <v>0</v>
      </c>
      <c r="P84" s="36"/>
      <c r="Q84" s="21"/>
      <c r="R84" s="24"/>
      <c r="S84" s="21"/>
      <c r="T84" s="21"/>
      <c r="U84" s="21"/>
      <c r="V84" s="47">
        <f>IF(AND(Etude!$M$50=TRUE,Etude!$Q27=FALSE),1,0)</f>
        <v>0</v>
      </c>
      <c r="W84" s="21">
        <f>IF(Etude!M$10=1,0,V84)</f>
        <v>0</v>
      </c>
      <c r="Z84" s="34"/>
      <c r="AA84" s="33">
        <f t="shared" si="87"/>
        <v>0</v>
      </c>
      <c r="AB84" s="47">
        <f t="shared" si="88"/>
        <v>0</v>
      </c>
      <c r="AC84" s="135"/>
      <c r="AE84" s="21"/>
      <c r="AF84" s="21">
        <f t="shared" si="89"/>
        <v>0</v>
      </c>
      <c r="AG84" s="21">
        <f t="shared" si="90"/>
        <v>0</v>
      </c>
      <c r="AH84" s="36"/>
      <c r="AI84" s="21"/>
      <c r="AJ84" s="24"/>
      <c r="AK84" s="21"/>
      <c r="AL84" s="21"/>
      <c r="AM84" s="21"/>
      <c r="AN84" s="47">
        <f>IF(AND(Etude!$M$50=TRUE,Etude!$Q27=FALSE),1,0)</f>
        <v>0</v>
      </c>
      <c r="AO84" s="21">
        <f>IF(Etude!S$10=1,0,AN84)</f>
        <v>0</v>
      </c>
      <c r="AR84" s="34"/>
      <c r="AS84" s="33">
        <f t="shared" si="91"/>
        <v>0</v>
      </c>
      <c r="AT84" s="47">
        <f t="shared" si="92"/>
        <v>0</v>
      </c>
      <c r="AU84" s="135"/>
      <c r="AW84" s="21"/>
      <c r="AX84" s="21">
        <f t="shared" si="93"/>
        <v>0</v>
      </c>
      <c r="AY84" s="21">
        <f t="shared" si="94"/>
        <v>0</v>
      </c>
      <c r="AZ84" s="36"/>
      <c r="BA84" s="21"/>
      <c r="BB84" s="24"/>
      <c r="BC84" s="21"/>
      <c r="BD84" s="21"/>
      <c r="BE84" s="21"/>
      <c r="BF84" s="21">
        <f aca="true" t="shared" si="98" ref="BF84:BF96">SUM(E84:AV84)</f>
        <v>0</v>
      </c>
      <c r="BG84" s="21">
        <f aca="true" t="shared" si="99" ref="BG84:BG96">IF(AND(BN$10&gt;0,BF84&gt;0),1,0)</f>
        <v>0</v>
      </c>
      <c r="BH84" s="39">
        <f>BG84*(BI84+(BI84*0.02*BN$10))</f>
        <v>0</v>
      </c>
      <c r="BI84" s="21">
        <v>190</v>
      </c>
      <c r="BK84" s="21">
        <f t="shared" si="95"/>
        <v>0</v>
      </c>
      <c r="BL84" s="21">
        <f t="shared" si="96"/>
        <v>0</v>
      </c>
      <c r="BM84" s="21"/>
      <c r="BN84" s="24">
        <f t="shared" si="97"/>
        <v>0</v>
      </c>
      <c r="BO84">
        <f aca="true" t="shared" si="100" ref="BO84:BO96">BG84</f>
        <v>0</v>
      </c>
      <c r="BP84" s="404">
        <f aca="true" t="shared" si="101" ref="BP84:BP96">BH84</f>
        <v>0</v>
      </c>
      <c r="BQ84" s="278" t="s">
        <v>50</v>
      </c>
    </row>
    <row r="85" spans="1:69" ht="12.75">
      <c r="A85">
        <v>16</v>
      </c>
      <c r="C85" t="s">
        <v>51</v>
      </c>
      <c r="D85" s="47">
        <f>IF(AND(Etude!$M$51=TRUE,Etude!$Q27=FALSE),1,0)</f>
        <v>0</v>
      </c>
      <c r="E85" s="21">
        <f>IF(Etude!G$10=1,0,D85)</f>
        <v>0</v>
      </c>
      <c r="F85" s="135"/>
      <c r="G85" s="227"/>
      <c r="H85" s="34"/>
      <c r="I85" s="33">
        <f t="shared" si="83"/>
        <v>0</v>
      </c>
      <c r="J85" s="47">
        <f t="shared" si="84"/>
        <v>0</v>
      </c>
      <c r="K85" s="135"/>
      <c r="M85" s="21"/>
      <c r="N85" s="21">
        <f t="shared" si="85"/>
        <v>0</v>
      </c>
      <c r="O85" s="21">
        <f t="shared" si="86"/>
        <v>0</v>
      </c>
      <c r="P85" s="36"/>
      <c r="Q85" s="21"/>
      <c r="R85" s="24"/>
      <c r="S85" s="21"/>
      <c r="T85" s="21"/>
      <c r="U85" s="21"/>
      <c r="V85" s="47">
        <f>IF(AND(Etude!$M$3=TRUE,Etude!$Q27=FALSE),1,0)</f>
        <v>0</v>
      </c>
      <c r="W85" s="21">
        <f>IF(Etude!M$10=1,0,V85)</f>
        <v>0</v>
      </c>
      <c r="Z85" s="34"/>
      <c r="AA85" s="33">
        <f t="shared" si="87"/>
        <v>0</v>
      </c>
      <c r="AB85" s="47">
        <f t="shared" si="88"/>
        <v>0</v>
      </c>
      <c r="AC85" s="135"/>
      <c r="AE85" s="21"/>
      <c r="AF85" s="21">
        <f t="shared" si="89"/>
        <v>0</v>
      </c>
      <c r="AG85" s="21">
        <f t="shared" si="90"/>
        <v>0</v>
      </c>
      <c r="AH85" s="36"/>
      <c r="AI85" s="21"/>
      <c r="AJ85" s="24"/>
      <c r="AK85" s="21"/>
      <c r="AL85" s="21"/>
      <c r="AM85" s="21"/>
      <c r="AN85" s="47">
        <f>IF(AND(Etude!$M$51=TRUE,Etude!$Q27=FALSE),1,0)</f>
        <v>0</v>
      </c>
      <c r="AO85" s="21">
        <f>IF(Etude!S$10=1,0,AN85)</f>
        <v>0</v>
      </c>
      <c r="AR85" s="34"/>
      <c r="AS85" s="33">
        <f t="shared" si="91"/>
        <v>0</v>
      </c>
      <c r="AT85" s="47">
        <f t="shared" si="92"/>
        <v>0</v>
      </c>
      <c r="AU85" s="135"/>
      <c r="AW85" s="21"/>
      <c r="AX85" s="21">
        <f t="shared" si="93"/>
        <v>0</v>
      </c>
      <c r="AY85" s="21">
        <f t="shared" si="94"/>
        <v>0</v>
      </c>
      <c r="AZ85" s="36"/>
      <c r="BA85" s="21"/>
      <c r="BB85" s="24"/>
      <c r="BC85" s="21"/>
      <c r="BD85" s="21"/>
      <c r="BE85" s="21"/>
      <c r="BF85" s="21">
        <f t="shared" si="98"/>
        <v>0</v>
      </c>
      <c r="BG85" s="21">
        <f t="shared" si="99"/>
        <v>0</v>
      </c>
      <c r="BH85" s="39">
        <f>BG85*(BI85+(BI85*0.03*BN$10))</f>
        <v>0</v>
      </c>
      <c r="BI85" s="21">
        <v>190</v>
      </c>
      <c r="BK85" s="21">
        <f t="shared" si="95"/>
        <v>0</v>
      </c>
      <c r="BL85" s="21">
        <f t="shared" si="96"/>
        <v>0</v>
      </c>
      <c r="BM85" s="21"/>
      <c r="BN85" s="24">
        <f t="shared" si="97"/>
        <v>0</v>
      </c>
      <c r="BO85">
        <f t="shared" si="100"/>
        <v>0</v>
      </c>
      <c r="BP85" s="404">
        <f t="shared" si="101"/>
        <v>0</v>
      </c>
      <c r="BQ85" s="278" t="s">
        <v>51</v>
      </c>
    </row>
    <row r="86" spans="1:69" ht="12.75">
      <c r="A86">
        <v>17</v>
      </c>
      <c r="C86" t="s">
        <v>52</v>
      </c>
      <c r="D86" s="47">
        <f>IF(AND(Etude!$M$52=TRUE,Etude!$Q27=FALSE),1,0)</f>
        <v>0</v>
      </c>
      <c r="E86" s="21">
        <f>IF(Etude!G$10=1,0,D86)</f>
        <v>0</v>
      </c>
      <c r="F86" s="135"/>
      <c r="G86" s="227"/>
      <c r="H86" s="34"/>
      <c r="I86" s="33">
        <f t="shared" si="83"/>
        <v>0</v>
      </c>
      <c r="J86" s="47">
        <f t="shared" si="84"/>
        <v>0</v>
      </c>
      <c r="K86" s="135"/>
      <c r="M86" s="21"/>
      <c r="N86" s="21">
        <f t="shared" si="85"/>
        <v>0</v>
      </c>
      <c r="O86" s="21">
        <f t="shared" si="86"/>
        <v>0</v>
      </c>
      <c r="P86" s="36"/>
      <c r="Q86" s="21"/>
      <c r="R86" s="24"/>
      <c r="S86" s="21"/>
      <c r="T86" s="21"/>
      <c r="U86" s="21"/>
      <c r="V86" s="47">
        <f>IF(AND(Etude!$M$4=TRUE,Etude!$Q27=FALSE),1,0)</f>
        <v>0</v>
      </c>
      <c r="W86" s="21">
        <f>IF(Etude!M$10=1,0,V86)</f>
        <v>0</v>
      </c>
      <c r="Z86" s="34"/>
      <c r="AA86" s="33">
        <f t="shared" si="87"/>
        <v>0</v>
      </c>
      <c r="AB86" s="47">
        <f t="shared" si="88"/>
        <v>0</v>
      </c>
      <c r="AC86" s="135"/>
      <c r="AE86" s="21"/>
      <c r="AF86" s="21">
        <f t="shared" si="89"/>
        <v>0</v>
      </c>
      <c r="AG86" s="21">
        <f t="shared" si="90"/>
        <v>0</v>
      </c>
      <c r="AH86" s="36"/>
      <c r="AI86" s="21"/>
      <c r="AJ86" s="24"/>
      <c r="AK86" s="21"/>
      <c r="AL86" s="21"/>
      <c r="AM86" s="21"/>
      <c r="AN86" s="47">
        <f>IF(AND(Etude!$M$52=TRUE,Etude!$Q27=FALSE),1,0)</f>
        <v>0</v>
      </c>
      <c r="AO86" s="21">
        <f>IF(Etude!S$10=1,0,AN86)</f>
        <v>0</v>
      </c>
      <c r="AR86" s="34"/>
      <c r="AS86" s="33">
        <f t="shared" si="91"/>
        <v>0</v>
      </c>
      <c r="AT86" s="47">
        <f t="shared" si="92"/>
        <v>0</v>
      </c>
      <c r="AU86" s="135"/>
      <c r="AW86" s="21"/>
      <c r="AX86" s="21">
        <f t="shared" si="93"/>
        <v>0</v>
      </c>
      <c r="AY86" s="21">
        <f t="shared" si="94"/>
        <v>0</v>
      </c>
      <c r="AZ86" s="36"/>
      <c r="BA86" s="21"/>
      <c r="BB86" s="24"/>
      <c r="BC86" s="21"/>
      <c r="BD86" s="21"/>
      <c r="BE86" s="21"/>
      <c r="BF86" s="21">
        <f t="shared" si="98"/>
        <v>0</v>
      </c>
      <c r="BG86" s="21">
        <f t="shared" si="99"/>
        <v>0</v>
      </c>
      <c r="BH86" s="39">
        <f>BG86*(BI86+(BI86*0.02*BN$10))</f>
        <v>0</v>
      </c>
      <c r="BI86" s="21">
        <v>180</v>
      </c>
      <c r="BK86" s="21">
        <f t="shared" si="95"/>
        <v>0</v>
      </c>
      <c r="BL86" s="21">
        <f t="shared" si="96"/>
        <v>0</v>
      </c>
      <c r="BM86" s="21"/>
      <c r="BN86" s="24">
        <f t="shared" si="97"/>
        <v>0</v>
      </c>
      <c r="BO86">
        <f t="shared" si="100"/>
        <v>0</v>
      </c>
      <c r="BP86" s="404">
        <f t="shared" si="101"/>
        <v>0</v>
      </c>
      <c r="BQ86" s="278" t="s">
        <v>52</v>
      </c>
    </row>
    <row r="87" spans="1:69" ht="12.75">
      <c r="A87">
        <v>18</v>
      </c>
      <c r="C87" t="s">
        <v>53</v>
      </c>
      <c r="D87" s="47">
        <f>IF(AND(Etude!$M$53=TRUE,Etude!$Q27=FALSE),1,0)</f>
        <v>0</v>
      </c>
      <c r="E87" s="21">
        <f>IF(Etude!G$10=1,0,D87)</f>
        <v>0</v>
      </c>
      <c r="F87" s="135"/>
      <c r="G87" s="227"/>
      <c r="H87" s="34"/>
      <c r="I87" s="33">
        <f t="shared" si="83"/>
        <v>0</v>
      </c>
      <c r="J87" s="47">
        <f t="shared" si="84"/>
        <v>0</v>
      </c>
      <c r="K87" s="135"/>
      <c r="M87" s="21"/>
      <c r="N87" s="21">
        <f t="shared" si="85"/>
        <v>0</v>
      </c>
      <c r="O87" s="21">
        <f t="shared" si="86"/>
        <v>0</v>
      </c>
      <c r="P87" s="36"/>
      <c r="Q87" s="21"/>
      <c r="R87" s="24"/>
      <c r="S87" s="21"/>
      <c r="T87" s="21"/>
      <c r="U87" s="21"/>
      <c r="V87" s="47">
        <f>IF(AND(Etude!$M$53=TRUE,Etude!$Q27=FALSE),1,0)</f>
        <v>0</v>
      </c>
      <c r="W87" s="21">
        <f>IF(Etude!M$10=1,0,V87)</f>
        <v>0</v>
      </c>
      <c r="Z87" s="34"/>
      <c r="AA87" s="33">
        <f t="shared" si="87"/>
        <v>0</v>
      </c>
      <c r="AB87" s="47">
        <f t="shared" si="88"/>
        <v>0</v>
      </c>
      <c r="AC87" s="135"/>
      <c r="AE87" s="21"/>
      <c r="AF87" s="21">
        <f t="shared" si="89"/>
        <v>0</v>
      </c>
      <c r="AG87" s="21">
        <f t="shared" si="90"/>
        <v>0</v>
      </c>
      <c r="AH87" s="36"/>
      <c r="AI87" s="21"/>
      <c r="AJ87" s="24"/>
      <c r="AK87" s="21"/>
      <c r="AL87" s="21"/>
      <c r="AM87" s="21"/>
      <c r="AN87" s="47">
        <f>IF(AND(Etude!$M$53=TRUE,Etude!$Q27=FALSE),1,0)</f>
        <v>0</v>
      </c>
      <c r="AO87" s="21">
        <f>IF(Etude!S$10=1,0,AN87)</f>
        <v>0</v>
      </c>
      <c r="AR87" s="34"/>
      <c r="AS87" s="33">
        <f t="shared" si="91"/>
        <v>0</v>
      </c>
      <c r="AT87" s="47">
        <f t="shared" si="92"/>
        <v>0</v>
      </c>
      <c r="AU87" s="135"/>
      <c r="AW87" s="21"/>
      <c r="AX87" s="21">
        <f t="shared" si="93"/>
        <v>0</v>
      </c>
      <c r="AY87" s="21">
        <f t="shared" si="94"/>
        <v>0</v>
      </c>
      <c r="AZ87" s="36"/>
      <c r="BA87" s="21"/>
      <c r="BB87" s="24"/>
      <c r="BC87" s="21"/>
      <c r="BD87" s="21"/>
      <c r="BE87" s="21"/>
      <c r="BF87" s="21">
        <f t="shared" si="98"/>
        <v>0</v>
      </c>
      <c r="BG87" s="21">
        <f t="shared" si="99"/>
        <v>0</v>
      </c>
      <c r="BH87" s="39">
        <f>BG87*(BI87+(BI87*0.02*BN$10))</f>
        <v>0</v>
      </c>
      <c r="BI87" s="21">
        <v>170</v>
      </c>
      <c r="BK87" s="21">
        <f t="shared" si="95"/>
        <v>0</v>
      </c>
      <c r="BL87" s="21">
        <f t="shared" si="96"/>
        <v>0</v>
      </c>
      <c r="BM87" s="21"/>
      <c r="BN87" s="24">
        <f t="shared" si="97"/>
        <v>0</v>
      </c>
      <c r="BO87">
        <f t="shared" si="100"/>
        <v>0</v>
      </c>
      <c r="BP87" s="404">
        <f t="shared" si="101"/>
        <v>0</v>
      </c>
      <c r="BQ87" s="278" t="s">
        <v>53</v>
      </c>
    </row>
    <row r="88" spans="1:69" ht="12.75">
      <c r="A88">
        <v>19</v>
      </c>
      <c r="C88" t="s">
        <v>54</v>
      </c>
      <c r="D88" s="47">
        <f>IF(AND(Etude!$M$54=TRUE,Etude!$Q27=FALSE),1,0)</f>
        <v>0</v>
      </c>
      <c r="E88" s="21">
        <f>IF(Etude!G$10=1,0,D88)</f>
        <v>0</v>
      </c>
      <c r="F88" s="135"/>
      <c r="G88" s="227"/>
      <c r="H88" s="34"/>
      <c r="I88" s="33">
        <f t="shared" si="83"/>
        <v>0</v>
      </c>
      <c r="J88" s="47">
        <f t="shared" si="84"/>
        <v>0</v>
      </c>
      <c r="K88" s="135"/>
      <c r="M88" s="21"/>
      <c r="N88" s="21">
        <f t="shared" si="85"/>
        <v>0</v>
      </c>
      <c r="O88" s="21">
        <f t="shared" si="86"/>
        <v>0</v>
      </c>
      <c r="P88" s="36"/>
      <c r="Q88" s="21"/>
      <c r="R88" s="24"/>
      <c r="S88" s="21"/>
      <c r="T88" s="21"/>
      <c r="U88" s="21"/>
      <c r="V88" s="47">
        <f>IF(AND(Etude!$M$54=TRUE,Etude!$Q27=FALSE),1,0)</f>
        <v>0</v>
      </c>
      <c r="W88" s="21">
        <f>IF(Etude!M$10=1,0,V88)</f>
        <v>0</v>
      </c>
      <c r="Z88" s="34"/>
      <c r="AA88" s="33">
        <f t="shared" si="87"/>
        <v>0</v>
      </c>
      <c r="AB88" s="47">
        <f t="shared" si="88"/>
        <v>0</v>
      </c>
      <c r="AC88" s="135"/>
      <c r="AE88" s="21"/>
      <c r="AF88" s="21">
        <f t="shared" si="89"/>
        <v>0</v>
      </c>
      <c r="AG88" s="21">
        <f t="shared" si="90"/>
        <v>0</v>
      </c>
      <c r="AH88" s="36"/>
      <c r="AI88" s="21"/>
      <c r="AJ88" s="24"/>
      <c r="AK88" s="21"/>
      <c r="AL88" s="21"/>
      <c r="AM88" s="21"/>
      <c r="AN88" s="47">
        <f>IF(AND(Etude!$M$54=TRUE,Etude!$Q27=FALSE),1,0)</f>
        <v>0</v>
      </c>
      <c r="AO88" s="21">
        <f>IF(Etude!S$10=1,0,AN88)</f>
        <v>0</v>
      </c>
      <c r="AR88" s="34"/>
      <c r="AS88" s="33">
        <f t="shared" si="91"/>
        <v>0</v>
      </c>
      <c r="AT88" s="47">
        <f t="shared" si="92"/>
        <v>0</v>
      </c>
      <c r="AU88" s="135"/>
      <c r="AW88" s="21"/>
      <c r="AX88" s="21">
        <f t="shared" si="93"/>
        <v>0</v>
      </c>
      <c r="AY88" s="21">
        <f t="shared" si="94"/>
        <v>0</v>
      </c>
      <c r="AZ88" s="36"/>
      <c r="BA88" s="21"/>
      <c r="BB88" s="24"/>
      <c r="BC88" s="21"/>
      <c r="BD88" s="21"/>
      <c r="BE88" s="21"/>
      <c r="BF88" s="21">
        <f t="shared" si="98"/>
        <v>0</v>
      </c>
      <c r="BG88" s="21">
        <f t="shared" si="99"/>
        <v>0</v>
      </c>
      <c r="BH88" s="39">
        <f>BG88*(BI88+(BI88*0.04*BN$10))</f>
        <v>0</v>
      </c>
      <c r="BI88" s="21">
        <v>240</v>
      </c>
      <c r="BK88" s="21">
        <f t="shared" si="95"/>
        <v>0</v>
      </c>
      <c r="BL88" s="21">
        <f t="shared" si="96"/>
        <v>0</v>
      </c>
      <c r="BM88" s="21"/>
      <c r="BN88" s="24">
        <f t="shared" si="97"/>
        <v>0</v>
      </c>
      <c r="BO88">
        <f t="shared" si="100"/>
        <v>0</v>
      </c>
      <c r="BP88" s="404">
        <f t="shared" si="101"/>
        <v>0</v>
      </c>
      <c r="BQ88" s="278" t="s">
        <v>54</v>
      </c>
    </row>
    <row r="89" spans="1:69" ht="12.75">
      <c r="A89">
        <v>20</v>
      </c>
      <c r="C89" t="s">
        <v>47</v>
      </c>
      <c r="D89" s="47">
        <f>IF(AND(Etude!$M$45=TRUE,Etude!$Q27=FALSE),1,0)</f>
        <v>0</v>
      </c>
      <c r="E89" s="21">
        <f>IF(Etude!G$10=1,0,D89)</f>
        <v>0</v>
      </c>
      <c r="F89" s="135"/>
      <c r="H89" s="34"/>
      <c r="I89" s="33">
        <f>IF(H$3+$E$9&gt;1,1,0)</f>
        <v>0</v>
      </c>
      <c r="J89" s="47">
        <f>IF(H$4+$E$9&gt;1,1,0)</f>
        <v>0</v>
      </c>
      <c r="K89" s="135"/>
      <c r="M89" s="21"/>
      <c r="N89" s="21">
        <f t="shared" si="85"/>
        <v>0</v>
      </c>
      <c r="O89" s="21">
        <f t="shared" si="86"/>
        <v>0</v>
      </c>
      <c r="P89" s="36">
        <f>(Q89)*(0.5+(P10/30))*O89</f>
        <v>0</v>
      </c>
      <c r="Q89" s="21">
        <v>175</v>
      </c>
      <c r="R89" s="24">
        <f>P89/50</f>
        <v>0</v>
      </c>
      <c r="S89" s="21">
        <f>O89*1</f>
        <v>0</v>
      </c>
      <c r="T89" s="21">
        <f>O89*1</f>
        <v>0</v>
      </c>
      <c r="U89" s="21"/>
      <c r="V89" s="47">
        <f>IF(AND(Etude!$M$45=TRUE,Etude!$Q27=FALSE),1,0)</f>
        <v>0</v>
      </c>
      <c r="W89" s="21">
        <f>IF(Etude!M$10=1,0,V89)</f>
        <v>0</v>
      </c>
      <c r="Z89" s="34"/>
      <c r="AA89" s="33">
        <f>IF(Z$3+$E$9&gt;1,1,0)</f>
        <v>0</v>
      </c>
      <c r="AB89" s="47">
        <f>IF(Z$4+$E$9&gt;1,1,0)</f>
        <v>0</v>
      </c>
      <c r="AC89" s="135"/>
      <c r="AE89" s="21"/>
      <c r="AF89" s="21">
        <f>SUM(W89:AD89)</f>
        <v>0</v>
      </c>
      <c r="AG89" s="21">
        <f>IF(AND(AH$10&gt;0,$N89&gt;0),1,0)</f>
        <v>0</v>
      </c>
      <c r="AH89" s="36">
        <f>(AI89)*(0.5+(AH10/30))*AG89</f>
        <v>0</v>
      </c>
      <c r="AI89" s="21">
        <v>175</v>
      </c>
      <c r="AJ89" s="24">
        <f>AH89/50</f>
        <v>0</v>
      </c>
      <c r="AK89" s="21">
        <f>AG89*1</f>
        <v>0</v>
      </c>
      <c r="AL89" s="21">
        <f>AG89*1</f>
        <v>0</v>
      </c>
      <c r="AM89" s="21"/>
      <c r="AN89" s="47">
        <f>IF(AND(Etude!$M$45=TRUE,Etude!$Q27=FALSE),1,0)</f>
        <v>0</v>
      </c>
      <c r="AO89" s="21">
        <f>IF(Etude!S$10=1,0,AN89)</f>
        <v>0</v>
      </c>
      <c r="AR89" s="34"/>
      <c r="AS89" s="33">
        <f>IF(AR$3+$E$9&gt;1,1,0)</f>
        <v>0</v>
      </c>
      <c r="AT89" s="47">
        <f>IF(AR$4+$E$9&gt;1,1,0)</f>
        <v>0</v>
      </c>
      <c r="AU89" s="135"/>
      <c r="AW89" s="21"/>
      <c r="AX89" s="21">
        <f>SUM(AO89:AV89)</f>
        <v>0</v>
      </c>
      <c r="AY89" s="21">
        <f>IF(AND(AZ$10&gt;0,$N89&gt;0),1,0)</f>
        <v>0</v>
      </c>
      <c r="AZ89" s="36">
        <f>(BA89)*(0.5+(AZ10/30))*AY89</f>
        <v>0</v>
      </c>
      <c r="BA89" s="21">
        <v>175</v>
      </c>
      <c r="BB89" s="24">
        <f>AZ89/50</f>
        <v>0</v>
      </c>
      <c r="BC89" s="21">
        <f>AY89*1</f>
        <v>0</v>
      </c>
      <c r="BD89" s="21">
        <f>AY89*1</f>
        <v>0</v>
      </c>
      <c r="BE89" s="21"/>
      <c r="BH89" s="405"/>
      <c r="BM89" s="21"/>
      <c r="BN89" s="24">
        <f>R89+AJ89+BB89</f>
        <v>0</v>
      </c>
      <c r="BO89">
        <f>O89+AG89+AY89</f>
        <v>0</v>
      </c>
      <c r="BP89" s="404">
        <f>P89+AH89+AZ89</f>
        <v>0</v>
      </c>
      <c r="BQ89" s="277" t="s">
        <v>47</v>
      </c>
    </row>
    <row r="90" spans="1:69" ht="12.75">
      <c r="A90">
        <v>21</v>
      </c>
      <c r="C90" t="s">
        <v>48</v>
      </c>
      <c r="D90" s="47">
        <f>IF(AND(Etude!$M$46=TRUE,Etude!$Q27=FALSE),1,0)</f>
        <v>0</v>
      </c>
      <c r="E90" s="21">
        <f>IF(Etude!G$10=1,0,D90)</f>
        <v>0</v>
      </c>
      <c r="F90" s="135"/>
      <c r="H90" s="34"/>
      <c r="I90" s="33">
        <f>IF(H$3+$E$9&gt;1,1,0)</f>
        <v>0</v>
      </c>
      <c r="J90" s="47">
        <f>IF(H$4+$E$9&gt;1,1,0)</f>
        <v>0</v>
      </c>
      <c r="K90" s="135"/>
      <c r="M90" s="21"/>
      <c r="N90" s="21">
        <f t="shared" si="85"/>
        <v>0</v>
      </c>
      <c r="O90" s="21">
        <f t="shared" si="86"/>
        <v>0</v>
      </c>
      <c r="P90" s="36">
        <f>(Q90)*(0.5+(P10/30))*O90</f>
        <v>0</v>
      </c>
      <c r="Q90" s="21">
        <v>185</v>
      </c>
      <c r="R90" s="24">
        <f>P90/50</f>
        <v>0</v>
      </c>
      <c r="S90" s="21">
        <f>O90*1</f>
        <v>0</v>
      </c>
      <c r="T90" s="21">
        <f>O90*1</f>
        <v>0</v>
      </c>
      <c r="U90" s="21"/>
      <c r="V90" s="47">
        <f>IF(AND(Etude!$M$46=TRUE,Etude!$Q27=FALSE),1,0)</f>
        <v>0</v>
      </c>
      <c r="W90" s="21">
        <f>IF(Etude!M$10=1,0,V90)</f>
        <v>0</v>
      </c>
      <c r="Z90" s="34"/>
      <c r="AA90" s="33">
        <f>IF(Z$3+$E$9&gt;1,1,0)</f>
        <v>0</v>
      </c>
      <c r="AB90" s="47">
        <f>IF(Z$4+$E$9&gt;1,1,0)</f>
        <v>0</v>
      </c>
      <c r="AC90" s="135"/>
      <c r="AE90" s="21"/>
      <c r="AF90" s="21">
        <f>SUM(W90:AD90)</f>
        <v>0</v>
      </c>
      <c r="AG90" s="21">
        <f>IF(AND(AH$10&gt;0,$N90&gt;0),1,0)</f>
        <v>0</v>
      </c>
      <c r="AH90" s="36">
        <f>(AI90)*(0.5+(AH10/30))*AG90</f>
        <v>0</v>
      </c>
      <c r="AI90" s="21">
        <v>185</v>
      </c>
      <c r="AJ90" s="24">
        <f>AH90/50</f>
        <v>0</v>
      </c>
      <c r="AK90" s="21">
        <f>AG90*1</f>
        <v>0</v>
      </c>
      <c r="AL90" s="21">
        <f>AG90*1</f>
        <v>0</v>
      </c>
      <c r="AM90" s="21"/>
      <c r="AN90" s="47">
        <f>IF(AND(Etude!$M$46=TRUE,Etude!$Q27=FALSE),1,0)</f>
        <v>0</v>
      </c>
      <c r="AO90" s="21">
        <f>IF(Etude!S$10=1,0,AN90)</f>
        <v>0</v>
      </c>
      <c r="AR90" s="34"/>
      <c r="AS90" s="33">
        <f>IF(AR$3+$E$9&gt;1,1,0)</f>
        <v>0</v>
      </c>
      <c r="AT90" s="47">
        <f>IF(AR$4+$E$9&gt;1,1,0)</f>
        <v>0</v>
      </c>
      <c r="AU90" s="135"/>
      <c r="AW90" s="21"/>
      <c r="AX90" s="21">
        <f>SUM(AO90:AV90)</f>
        <v>0</v>
      </c>
      <c r="AY90" s="21">
        <f>IF(AND(AZ$10&gt;0,$N90&gt;0),1,0)</f>
        <v>0</v>
      </c>
      <c r="AZ90" s="36">
        <f>(BA90)*(0.5+(AZ10/30))*AY90</f>
        <v>0</v>
      </c>
      <c r="BA90" s="21">
        <v>185</v>
      </c>
      <c r="BB90" s="24">
        <f>AZ90/50</f>
        <v>0</v>
      </c>
      <c r="BC90" s="21">
        <f>AY90*1</f>
        <v>0</v>
      </c>
      <c r="BD90" s="21">
        <f>AY90*1</f>
        <v>0</v>
      </c>
      <c r="BE90" s="21"/>
      <c r="BH90" s="405"/>
      <c r="BM90" s="21"/>
      <c r="BN90" s="24">
        <f>R90+AJ90+BB90</f>
        <v>0</v>
      </c>
      <c r="BO90">
        <f>O90+AG90+AY90</f>
        <v>0</v>
      </c>
      <c r="BP90" s="404">
        <f>P90+AH90+AZ90</f>
        <v>0</v>
      </c>
      <c r="BQ90" s="277" t="s">
        <v>48</v>
      </c>
    </row>
    <row r="91" spans="1:69" ht="12.75">
      <c r="A91">
        <v>22</v>
      </c>
      <c r="C91" t="s">
        <v>56</v>
      </c>
      <c r="D91" s="47">
        <f>IF(AND(Etude!$M$56=TRUE,Etude!$Q27=FALSE),1,0)</f>
        <v>0</v>
      </c>
      <c r="E91" s="21">
        <f>IF(Etude!G$10=1,0,D91)</f>
        <v>0</v>
      </c>
      <c r="F91" s="135"/>
      <c r="G91" s="227"/>
      <c r="H91" s="34"/>
      <c r="I91" s="33"/>
      <c r="J91" s="47">
        <f t="shared" si="84"/>
        <v>0</v>
      </c>
      <c r="K91" s="135"/>
      <c r="M91" s="21"/>
      <c r="N91" s="21">
        <f t="shared" si="85"/>
        <v>0</v>
      </c>
      <c r="O91" s="21">
        <f t="shared" si="86"/>
        <v>0</v>
      </c>
      <c r="P91" s="36"/>
      <c r="Q91" s="21"/>
      <c r="R91" s="24"/>
      <c r="S91" s="21"/>
      <c r="T91" s="21"/>
      <c r="U91" s="21"/>
      <c r="V91" s="47">
        <f>IF(AND(Etude!$M$56=TRUE,Etude!$Q27=FALSE),1,0)</f>
        <v>0</v>
      </c>
      <c r="W91" s="21">
        <f>IF(Etude!M$10=1,0,V91)</f>
        <v>0</v>
      </c>
      <c r="Z91" s="34"/>
      <c r="AA91" s="33"/>
      <c r="AB91" s="47">
        <f t="shared" si="88"/>
        <v>0</v>
      </c>
      <c r="AC91" s="135"/>
      <c r="AE91" s="21"/>
      <c r="AF91" s="21">
        <f t="shared" si="89"/>
        <v>0</v>
      </c>
      <c r="AG91" s="21">
        <f t="shared" si="90"/>
        <v>0</v>
      </c>
      <c r="AH91" s="36"/>
      <c r="AI91" s="21"/>
      <c r="AJ91" s="24"/>
      <c r="AK91" s="21"/>
      <c r="AL91" s="21"/>
      <c r="AM91" s="21"/>
      <c r="AN91" s="47">
        <f>IF(AND(Etude!$M$56=TRUE,Etude!$Q27=FALSE),1,0)</f>
        <v>0</v>
      </c>
      <c r="AO91" s="21">
        <f>IF(Etude!S$10=1,0,AN91)</f>
        <v>0</v>
      </c>
      <c r="AR91" s="34"/>
      <c r="AS91" s="33"/>
      <c r="AT91" s="47">
        <f t="shared" si="92"/>
        <v>0</v>
      </c>
      <c r="AU91" s="135"/>
      <c r="AW91" s="21"/>
      <c r="AX91" s="21">
        <f t="shared" si="93"/>
        <v>0</v>
      </c>
      <c r="AY91" s="21">
        <f t="shared" si="94"/>
        <v>0</v>
      </c>
      <c r="AZ91" s="36"/>
      <c r="BA91" s="21"/>
      <c r="BB91" s="24"/>
      <c r="BC91" s="21"/>
      <c r="BD91" s="21"/>
      <c r="BE91" s="21"/>
      <c r="BF91" s="21">
        <f t="shared" si="98"/>
        <v>0</v>
      </c>
      <c r="BG91" s="21">
        <f t="shared" si="99"/>
        <v>0</v>
      </c>
      <c r="BH91" s="39">
        <f>BG91*(BI91+(BI91*0.02*BN$10))</f>
        <v>0</v>
      </c>
      <c r="BI91" s="21">
        <v>200</v>
      </c>
      <c r="BK91" s="21">
        <f t="shared" si="95"/>
        <v>0</v>
      </c>
      <c r="BL91" s="21">
        <f t="shared" si="96"/>
        <v>0</v>
      </c>
      <c r="BM91" s="21"/>
      <c r="BN91" s="24">
        <f t="shared" si="97"/>
        <v>0</v>
      </c>
      <c r="BO91">
        <f t="shared" si="100"/>
        <v>0</v>
      </c>
      <c r="BP91" s="404">
        <f t="shared" si="101"/>
        <v>0</v>
      </c>
      <c r="BQ91" s="278" t="s">
        <v>56</v>
      </c>
    </row>
    <row r="92" spans="1:69" ht="12.75">
      <c r="A92">
        <v>23</v>
      </c>
      <c r="C92" t="s">
        <v>55</v>
      </c>
      <c r="D92" s="47">
        <f>IF(AND(Etude!$M$55=TRUE,Etude!$Q27=FALSE),1,0)</f>
        <v>0</v>
      </c>
      <c r="E92" s="21">
        <f>IF(Etude!G$10=1,0,D92)</f>
        <v>0</v>
      </c>
      <c r="F92" s="135"/>
      <c r="G92" s="227"/>
      <c r="H92" s="34"/>
      <c r="I92" s="33"/>
      <c r="J92" s="47">
        <f t="shared" si="84"/>
        <v>0</v>
      </c>
      <c r="K92" s="135"/>
      <c r="M92" s="21"/>
      <c r="N92" s="21">
        <f t="shared" si="85"/>
        <v>0</v>
      </c>
      <c r="O92" s="21">
        <f t="shared" si="86"/>
        <v>0</v>
      </c>
      <c r="P92" s="36"/>
      <c r="Q92" s="21"/>
      <c r="R92" s="24"/>
      <c r="S92" s="21"/>
      <c r="T92" s="21"/>
      <c r="U92" s="21"/>
      <c r="V92" s="47">
        <f>IF(AND(Etude!$M$55=TRUE,Etude!$Q27=FALSE),1,0)</f>
        <v>0</v>
      </c>
      <c r="W92" s="21">
        <f>IF(Etude!M$10=1,0,V92)</f>
        <v>0</v>
      </c>
      <c r="Z92" s="34"/>
      <c r="AA92" s="33"/>
      <c r="AB92" s="47">
        <f t="shared" si="88"/>
        <v>0</v>
      </c>
      <c r="AC92" s="135"/>
      <c r="AE92" s="21"/>
      <c r="AF92" s="21">
        <f>SUM(W92:AD92)</f>
        <v>0</v>
      </c>
      <c r="AG92" s="21">
        <f>IF(AND(AH$10&gt;0,$N92&gt;0),1,0)</f>
        <v>0</v>
      </c>
      <c r="AH92" s="36"/>
      <c r="AI92" s="21"/>
      <c r="AJ92" s="24"/>
      <c r="AK92" s="21"/>
      <c r="AL92" s="21"/>
      <c r="AM92" s="21"/>
      <c r="AN92" s="47">
        <f>IF(AND(Etude!$M$55=TRUE,Etude!$Q27=FALSE),1,0)</f>
        <v>0</v>
      </c>
      <c r="AO92" s="21">
        <f>IF(Etude!S$10=1,0,AN92)</f>
        <v>0</v>
      </c>
      <c r="AR92" s="34"/>
      <c r="AS92" s="33"/>
      <c r="AT92" s="47">
        <f t="shared" si="92"/>
        <v>0</v>
      </c>
      <c r="AU92" s="135"/>
      <c r="AW92" s="21"/>
      <c r="AX92" s="21">
        <f>SUM(AO92:AV92)</f>
        <v>0</v>
      </c>
      <c r="AY92" s="21">
        <f>IF(AND(AZ$10&gt;0,$N92&gt;0),1,0)</f>
        <v>0</v>
      </c>
      <c r="AZ92" s="36"/>
      <c r="BA92" s="21"/>
      <c r="BB92" s="24"/>
      <c r="BC92" s="21"/>
      <c r="BD92" s="21"/>
      <c r="BE92" s="21"/>
      <c r="BF92" s="21">
        <f>SUM(E92:AV92)</f>
        <v>0</v>
      </c>
      <c r="BG92" s="21">
        <f>IF(AND(BN$10&gt;0,BF92&gt;0),1,0)</f>
        <v>0</v>
      </c>
      <c r="BH92" s="39">
        <f>BG92*(BI92+(BI92*0.02*BN$10))</f>
        <v>0</v>
      </c>
      <c r="BI92" s="21">
        <v>80</v>
      </c>
      <c r="BK92" s="21">
        <f>BG92*1</f>
        <v>0</v>
      </c>
      <c r="BL92" s="21">
        <f>BG92*1</f>
        <v>0</v>
      </c>
      <c r="BM92" s="21"/>
      <c r="BN92" s="24">
        <f>BH92/50</f>
        <v>0</v>
      </c>
      <c r="BO92">
        <f>BG92</f>
        <v>0</v>
      </c>
      <c r="BP92" s="404">
        <f>BH92</f>
        <v>0</v>
      </c>
      <c r="BQ92" s="278" t="s">
        <v>55</v>
      </c>
    </row>
    <row r="93" spans="1:69" ht="12.75">
      <c r="A93">
        <v>24</v>
      </c>
      <c r="C93" t="s">
        <v>306</v>
      </c>
      <c r="D93" s="47">
        <f>IF(AND(Etude!$M$57=TRUE,Etude!$Q27=FALSE),1,0)</f>
        <v>0</v>
      </c>
      <c r="E93" s="21">
        <f>IF(Etude!G$10=1,0,D93)</f>
        <v>0</v>
      </c>
      <c r="F93" s="135"/>
      <c r="G93" s="227"/>
      <c r="H93" s="34"/>
      <c r="I93" s="33"/>
      <c r="J93" s="47">
        <f t="shared" si="84"/>
        <v>0</v>
      </c>
      <c r="K93" s="135"/>
      <c r="M93" s="21"/>
      <c r="N93" s="21">
        <f t="shared" si="85"/>
        <v>0</v>
      </c>
      <c r="O93" s="21">
        <f t="shared" si="86"/>
        <v>0</v>
      </c>
      <c r="P93" s="36"/>
      <c r="Q93" s="21"/>
      <c r="R93" s="24"/>
      <c r="S93" s="21"/>
      <c r="T93" s="21"/>
      <c r="U93" s="21"/>
      <c r="V93" s="47">
        <f>IF(AND(Etude!$M$57=TRUE,Etude!$Q27=FALSE),1,0)</f>
        <v>0</v>
      </c>
      <c r="W93" s="21">
        <f>IF(Etude!M$10=1,0,V93)</f>
        <v>0</v>
      </c>
      <c r="Z93" s="34"/>
      <c r="AA93" s="33"/>
      <c r="AB93" s="47">
        <f t="shared" si="88"/>
        <v>0</v>
      </c>
      <c r="AC93" s="135"/>
      <c r="AE93" s="21"/>
      <c r="AF93" s="21">
        <f t="shared" si="89"/>
        <v>0</v>
      </c>
      <c r="AG93" s="21">
        <f t="shared" si="90"/>
        <v>0</v>
      </c>
      <c r="AH93" s="36"/>
      <c r="AI93" s="21"/>
      <c r="AJ93" s="24"/>
      <c r="AK93" s="21"/>
      <c r="AL93" s="21"/>
      <c r="AM93" s="21"/>
      <c r="AN93" s="47">
        <f>IF(AND(Etude!$M$57=TRUE,Etude!$Q27=FALSE),1,0)</f>
        <v>0</v>
      </c>
      <c r="AO93" s="21">
        <f>IF(Etude!S$10=1,0,AN93)</f>
        <v>0</v>
      </c>
      <c r="AR93" s="34"/>
      <c r="AS93" s="33"/>
      <c r="AT93" s="47">
        <f t="shared" si="92"/>
        <v>0</v>
      </c>
      <c r="AU93" s="135"/>
      <c r="AW93" s="21"/>
      <c r="AX93" s="21">
        <f t="shared" si="93"/>
        <v>0</v>
      </c>
      <c r="AY93" s="21">
        <f t="shared" si="94"/>
        <v>0</v>
      </c>
      <c r="AZ93" s="36"/>
      <c r="BA93" s="21"/>
      <c r="BB93" s="24"/>
      <c r="BC93" s="21"/>
      <c r="BD93" s="21"/>
      <c r="BE93" s="21"/>
      <c r="BF93" s="21">
        <f t="shared" si="98"/>
        <v>0</v>
      </c>
      <c r="BG93" s="21">
        <f t="shared" si="99"/>
        <v>0</v>
      </c>
      <c r="BH93" s="39">
        <f>BG93*(BI93+(BI93*0.04*BN$10))</f>
        <v>0</v>
      </c>
      <c r="BI93" s="21">
        <v>170</v>
      </c>
      <c r="BK93" s="21">
        <f>BG93*1</f>
        <v>0</v>
      </c>
      <c r="BL93" s="21">
        <f>BG93*1</f>
        <v>0</v>
      </c>
      <c r="BM93" s="21"/>
      <c r="BN93" s="24">
        <f t="shared" si="97"/>
        <v>0</v>
      </c>
      <c r="BO93">
        <f t="shared" si="100"/>
        <v>0</v>
      </c>
      <c r="BP93" s="404">
        <f t="shared" si="101"/>
        <v>0</v>
      </c>
      <c r="BQ93" s="278" t="s">
        <v>306</v>
      </c>
    </row>
    <row r="94" spans="1:69" ht="12.75">
      <c r="A94">
        <v>25</v>
      </c>
      <c r="C94" t="s">
        <v>57</v>
      </c>
      <c r="D94" s="47">
        <f>IF(AND(Etude!$M$58=TRUE,Etude!$Q27=FALSE),1,0)</f>
        <v>0</v>
      </c>
      <c r="E94" s="21">
        <f>IF(Etude!G$10=1,0,D94)</f>
        <v>0</v>
      </c>
      <c r="F94" s="135"/>
      <c r="G94" s="227"/>
      <c r="H94" s="34"/>
      <c r="I94" s="33"/>
      <c r="J94" s="47">
        <f t="shared" si="84"/>
        <v>0</v>
      </c>
      <c r="K94" s="135"/>
      <c r="M94" s="21"/>
      <c r="N94" s="21">
        <f t="shared" si="85"/>
        <v>0</v>
      </c>
      <c r="O94" s="21">
        <f t="shared" si="86"/>
        <v>0</v>
      </c>
      <c r="P94" s="36"/>
      <c r="Q94" s="21"/>
      <c r="R94" s="24"/>
      <c r="S94" s="21"/>
      <c r="T94" s="21"/>
      <c r="U94" s="21"/>
      <c r="V94" s="47">
        <f>IF(AND(Etude!$M$58=TRUE,Etude!$Q27=FALSE),1,0)</f>
        <v>0</v>
      </c>
      <c r="W94" s="21">
        <f>IF(Etude!M$10=1,0,V94)</f>
        <v>0</v>
      </c>
      <c r="Z94" s="34"/>
      <c r="AA94" s="33"/>
      <c r="AB94" s="47">
        <f t="shared" si="88"/>
        <v>0</v>
      </c>
      <c r="AC94" s="135"/>
      <c r="AE94" s="21"/>
      <c r="AF94" s="21">
        <f t="shared" si="89"/>
        <v>0</v>
      </c>
      <c r="AG94" s="21">
        <f t="shared" si="90"/>
        <v>0</v>
      </c>
      <c r="AH94" s="36"/>
      <c r="AI94" s="21"/>
      <c r="AJ94" s="24"/>
      <c r="AK94" s="21"/>
      <c r="AL94" s="21"/>
      <c r="AM94" s="21"/>
      <c r="AN94" s="47">
        <f>IF(AND(Etude!$M$58=TRUE,Etude!$Q27=FALSE),1,0)</f>
        <v>0</v>
      </c>
      <c r="AO94" s="21">
        <f>IF(Etude!S$10=1,0,AN94)</f>
        <v>0</v>
      </c>
      <c r="AR94" s="34"/>
      <c r="AS94" s="33"/>
      <c r="AT94" s="47">
        <f t="shared" si="92"/>
        <v>0</v>
      </c>
      <c r="AU94" s="135"/>
      <c r="AW94" s="21"/>
      <c r="AX94" s="21">
        <f t="shared" si="93"/>
        <v>0</v>
      </c>
      <c r="AY94" s="21">
        <f t="shared" si="94"/>
        <v>0</v>
      </c>
      <c r="AZ94" s="36"/>
      <c r="BA94" s="21"/>
      <c r="BB94" s="24"/>
      <c r="BC94" s="21"/>
      <c r="BD94" s="21"/>
      <c r="BE94" s="21"/>
      <c r="BF94" s="21">
        <f t="shared" si="98"/>
        <v>0</v>
      </c>
      <c r="BG94" s="21">
        <f t="shared" si="99"/>
        <v>0</v>
      </c>
      <c r="BH94" s="39">
        <f>BG94*(BI94+(BI94*0.04*BN$10))</f>
        <v>0</v>
      </c>
      <c r="BI94" s="21">
        <v>160</v>
      </c>
      <c r="BK94" s="21">
        <f t="shared" si="95"/>
        <v>0</v>
      </c>
      <c r="BL94" s="21">
        <f t="shared" si="96"/>
        <v>0</v>
      </c>
      <c r="BM94" s="21"/>
      <c r="BN94" s="24">
        <f t="shared" si="97"/>
        <v>0</v>
      </c>
      <c r="BO94">
        <f t="shared" si="100"/>
        <v>0</v>
      </c>
      <c r="BP94" s="404">
        <f t="shared" si="101"/>
        <v>0</v>
      </c>
      <c r="BQ94" s="278" t="s">
        <v>57</v>
      </c>
    </row>
    <row r="95" spans="1:69" ht="12.75">
      <c r="A95">
        <v>26</v>
      </c>
      <c r="C95" t="s">
        <v>58</v>
      </c>
      <c r="D95" s="47">
        <f>IF(AND(Etude!$M$59=TRUE,Etude!$Q27=FALSE),1,0)</f>
        <v>0</v>
      </c>
      <c r="E95" s="21">
        <f>IF(Etude!G$10=1,0,D95)</f>
        <v>0</v>
      </c>
      <c r="F95" s="135"/>
      <c r="G95" s="227"/>
      <c r="H95" s="34"/>
      <c r="I95" s="33"/>
      <c r="J95" s="47">
        <f t="shared" si="84"/>
        <v>0</v>
      </c>
      <c r="K95" s="135"/>
      <c r="M95" s="21"/>
      <c r="N95" s="21">
        <f t="shared" si="85"/>
        <v>0</v>
      </c>
      <c r="O95" s="21">
        <f t="shared" si="86"/>
        <v>0</v>
      </c>
      <c r="P95" s="36"/>
      <c r="Q95" s="21"/>
      <c r="R95" s="24"/>
      <c r="S95" s="21"/>
      <c r="T95" s="21"/>
      <c r="U95" s="21"/>
      <c r="V95" s="47">
        <f>IF(AND(Etude!$M$59=TRUE,Etude!$Q27=FALSE),1,0)</f>
        <v>0</v>
      </c>
      <c r="W95" s="21">
        <f>IF(Etude!M$10=1,0,V95)</f>
        <v>0</v>
      </c>
      <c r="Z95" s="34"/>
      <c r="AA95" s="33"/>
      <c r="AB95" s="47">
        <f t="shared" si="88"/>
        <v>0</v>
      </c>
      <c r="AC95" s="135"/>
      <c r="AE95" s="21"/>
      <c r="AF95" s="21">
        <f t="shared" si="89"/>
        <v>0</v>
      </c>
      <c r="AG95" s="21">
        <f t="shared" si="90"/>
        <v>0</v>
      </c>
      <c r="AH95" s="36"/>
      <c r="AI95" s="21"/>
      <c r="AJ95" s="24"/>
      <c r="AK95" s="21"/>
      <c r="AL95" s="21"/>
      <c r="AM95" s="21"/>
      <c r="AN95" s="47">
        <f>IF(AND(Etude!$M$59=TRUE,Etude!$Q27=FALSE),1,0)</f>
        <v>0</v>
      </c>
      <c r="AO95" s="21">
        <f>IF(Etude!S$10=1,0,AN95)</f>
        <v>0</v>
      </c>
      <c r="AR95" s="34"/>
      <c r="AS95" s="33"/>
      <c r="AT95" s="47">
        <f t="shared" si="92"/>
        <v>0</v>
      </c>
      <c r="AU95" s="135"/>
      <c r="AW95" s="21"/>
      <c r="AX95" s="21">
        <f t="shared" si="93"/>
        <v>0</v>
      </c>
      <c r="AY95" s="21">
        <f t="shared" si="94"/>
        <v>0</v>
      </c>
      <c r="AZ95" s="36"/>
      <c r="BA95" s="21"/>
      <c r="BB95" s="24"/>
      <c r="BC95" s="21"/>
      <c r="BD95" s="21"/>
      <c r="BE95" s="21"/>
      <c r="BF95" s="21">
        <f t="shared" si="98"/>
        <v>0</v>
      </c>
      <c r="BG95" s="21">
        <f t="shared" si="99"/>
        <v>0</v>
      </c>
      <c r="BH95" s="39">
        <f>BG95*(BI95+(BI95*0.04*BN$10))</f>
        <v>0</v>
      </c>
      <c r="BI95" s="21">
        <v>190</v>
      </c>
      <c r="BK95" s="21">
        <f t="shared" si="95"/>
        <v>0</v>
      </c>
      <c r="BL95" s="21">
        <f t="shared" si="96"/>
        <v>0</v>
      </c>
      <c r="BM95" s="21"/>
      <c r="BN95" s="24">
        <f t="shared" si="97"/>
        <v>0</v>
      </c>
      <c r="BO95">
        <f t="shared" si="100"/>
        <v>0</v>
      </c>
      <c r="BP95" s="404">
        <f t="shared" si="101"/>
        <v>0</v>
      </c>
      <c r="BQ95" s="278" t="s">
        <v>58</v>
      </c>
    </row>
    <row r="96" spans="1:69" ht="12.75">
      <c r="A96">
        <v>27</v>
      </c>
      <c r="C96" t="s">
        <v>104</v>
      </c>
      <c r="D96" s="47">
        <f>IF(AND(Etude!$M$60=TRUE,Etude!$Q27=FALSE),1,0)</f>
        <v>0</v>
      </c>
      <c r="E96" s="21">
        <f>IF(Etude!G$10=1,0,D96)</f>
        <v>0</v>
      </c>
      <c r="F96" s="135"/>
      <c r="G96" s="227"/>
      <c r="H96" s="34"/>
      <c r="I96" s="33"/>
      <c r="J96" s="47">
        <f t="shared" si="84"/>
        <v>0</v>
      </c>
      <c r="K96" s="135"/>
      <c r="M96" s="21"/>
      <c r="N96" s="21">
        <f t="shared" si="85"/>
        <v>0</v>
      </c>
      <c r="O96" s="21">
        <f t="shared" si="86"/>
        <v>0</v>
      </c>
      <c r="P96" s="36"/>
      <c r="Q96" s="21"/>
      <c r="R96" s="24"/>
      <c r="S96" s="21"/>
      <c r="T96" s="21"/>
      <c r="U96" s="21"/>
      <c r="V96" s="47">
        <f>IF(Etude!$M$60=TRUE,1,0)</f>
        <v>0</v>
      </c>
      <c r="W96" s="21">
        <f>IF(Etude!M$10=1,0,V96)</f>
        <v>0</v>
      </c>
      <c r="Z96" s="34"/>
      <c r="AA96" s="33"/>
      <c r="AB96" s="47">
        <f t="shared" si="88"/>
        <v>0</v>
      </c>
      <c r="AC96" s="135"/>
      <c r="AE96" s="21"/>
      <c r="AF96" s="21">
        <f t="shared" si="89"/>
        <v>0</v>
      </c>
      <c r="AG96" s="21">
        <f t="shared" si="90"/>
        <v>0</v>
      </c>
      <c r="AH96" s="36"/>
      <c r="AI96" s="21"/>
      <c r="AJ96" s="24"/>
      <c r="AK96" s="21"/>
      <c r="AL96" s="21"/>
      <c r="AM96" s="21"/>
      <c r="AN96" s="47">
        <f>IF(Etude!$M$60=TRUE,1,0)</f>
        <v>0</v>
      </c>
      <c r="AO96" s="21">
        <f>IF(Etude!S$10=1,0,AN96)</f>
        <v>0</v>
      </c>
      <c r="AR96" s="34"/>
      <c r="AS96" s="33"/>
      <c r="AT96" s="47">
        <f t="shared" si="92"/>
        <v>0</v>
      </c>
      <c r="AU96" s="135"/>
      <c r="AW96" s="21"/>
      <c r="AX96" s="21">
        <f t="shared" si="93"/>
        <v>0</v>
      </c>
      <c r="AY96" s="21">
        <f t="shared" si="94"/>
        <v>0</v>
      </c>
      <c r="AZ96" s="36"/>
      <c r="BA96" s="21"/>
      <c r="BB96" s="24"/>
      <c r="BC96" s="21"/>
      <c r="BD96" s="21"/>
      <c r="BE96" s="21"/>
      <c r="BF96" s="21">
        <f t="shared" si="98"/>
        <v>0</v>
      </c>
      <c r="BG96" s="21">
        <f t="shared" si="99"/>
        <v>0</v>
      </c>
      <c r="BH96" s="39">
        <f>BG96*(BI96+(BI96*0.02*BN$10))</f>
        <v>0</v>
      </c>
      <c r="BI96" s="21">
        <v>100</v>
      </c>
      <c r="BK96" s="21">
        <f>BG96*8</f>
        <v>0</v>
      </c>
      <c r="BL96" s="21"/>
      <c r="BM96" s="21"/>
      <c r="BN96" s="24">
        <f t="shared" si="97"/>
        <v>0</v>
      </c>
      <c r="BO96">
        <f t="shared" si="100"/>
        <v>0</v>
      </c>
      <c r="BP96" s="404">
        <f t="shared" si="101"/>
        <v>0</v>
      </c>
      <c r="BQ96" s="278" t="s">
        <v>104</v>
      </c>
    </row>
    <row r="97" spans="3:69" ht="12.75">
      <c r="C97" t="s">
        <v>105</v>
      </c>
      <c r="D97" s="47"/>
      <c r="E97" s="21"/>
      <c r="F97" s="135"/>
      <c r="H97" s="34"/>
      <c r="I97" s="33"/>
      <c r="J97" s="224"/>
      <c r="K97" s="135"/>
      <c r="M97" s="21"/>
      <c r="N97" s="21"/>
      <c r="O97" s="21"/>
      <c r="P97" s="36"/>
      <c r="Q97" s="21"/>
      <c r="R97" s="24"/>
      <c r="S97" s="21"/>
      <c r="T97" s="21"/>
      <c r="U97" s="21"/>
      <c r="V97" s="21"/>
      <c r="W97" s="21"/>
      <c r="Z97" s="34"/>
      <c r="AA97" s="33"/>
      <c r="AB97" s="224"/>
      <c r="AC97" s="135"/>
      <c r="AE97" s="21"/>
      <c r="AF97" s="21"/>
      <c r="AG97" s="21"/>
      <c r="AH97" s="36"/>
      <c r="AI97" s="21"/>
      <c r="AJ97" s="24"/>
      <c r="AK97" s="21"/>
      <c r="AL97" s="21"/>
      <c r="AM97" s="21"/>
      <c r="AN97" s="21"/>
      <c r="AO97" s="21"/>
      <c r="AR97" s="34"/>
      <c r="AS97" s="33"/>
      <c r="AT97" s="224"/>
      <c r="AU97" s="135"/>
      <c r="AW97" s="21"/>
      <c r="AX97" s="21"/>
      <c r="AY97" s="21"/>
      <c r="AZ97" s="36"/>
      <c r="BA97" s="21"/>
      <c r="BB97" s="24"/>
      <c r="BC97" s="21"/>
      <c r="BD97" s="21"/>
      <c r="BE97" s="21"/>
      <c r="BF97" s="21"/>
      <c r="BG97" s="21"/>
      <c r="BH97" s="36"/>
      <c r="BI97" s="21"/>
      <c r="BK97" s="21"/>
      <c r="BL97" s="21"/>
      <c r="BM97" s="21"/>
      <c r="BN97" s="24"/>
      <c r="BP97" s="49"/>
      <c r="BQ97" s="278"/>
    </row>
    <row r="98" spans="4:69" ht="12.75">
      <c r="D98" s="47"/>
      <c r="E98" s="21"/>
      <c r="F98" s="135"/>
      <c r="H98" s="34"/>
      <c r="I98" s="33"/>
      <c r="J98" s="224"/>
      <c r="K98" s="135"/>
      <c r="M98" s="21"/>
      <c r="N98" s="21"/>
      <c r="O98" s="21"/>
      <c r="P98" s="36"/>
      <c r="Q98" s="21"/>
      <c r="R98" s="24"/>
      <c r="S98" s="21"/>
      <c r="T98" s="21"/>
      <c r="U98" s="21"/>
      <c r="V98" s="21"/>
      <c r="W98" s="21"/>
      <c r="Z98" s="34"/>
      <c r="AA98" s="33"/>
      <c r="AB98" s="224"/>
      <c r="AC98" s="135"/>
      <c r="AE98" s="21"/>
      <c r="AF98" s="21"/>
      <c r="AG98" s="21"/>
      <c r="AH98" s="36"/>
      <c r="AI98" s="21"/>
      <c r="AJ98" s="24"/>
      <c r="AK98" s="21"/>
      <c r="AL98" s="21"/>
      <c r="AM98" s="21"/>
      <c r="AN98" s="21"/>
      <c r="AO98" s="21"/>
      <c r="AR98" s="34"/>
      <c r="AS98" s="33"/>
      <c r="AT98" s="224"/>
      <c r="AU98" s="135"/>
      <c r="AW98" s="21"/>
      <c r="AX98" s="21"/>
      <c r="AY98" s="21"/>
      <c r="AZ98" s="36"/>
      <c r="BA98" s="21"/>
      <c r="BB98" s="24"/>
      <c r="BC98" s="21"/>
      <c r="BD98" s="21"/>
      <c r="BE98" s="21"/>
      <c r="BF98" s="21"/>
      <c r="BG98" s="21"/>
      <c r="BH98" s="36"/>
      <c r="BI98" s="21"/>
      <c r="BK98" s="21"/>
      <c r="BL98" s="21"/>
      <c r="BM98" s="21"/>
      <c r="BN98" s="24"/>
      <c r="BP98" s="49"/>
      <c r="BQ98" s="278"/>
    </row>
    <row r="99" spans="3:69" ht="12.75">
      <c r="C99" s="29" t="s">
        <v>1</v>
      </c>
      <c r="D99" s="47"/>
      <c r="E99" s="21"/>
      <c r="F99" s="6" t="s">
        <v>61</v>
      </c>
      <c r="H99" s="220" t="s">
        <v>538</v>
      </c>
      <c r="I99" s="221" t="s">
        <v>537</v>
      </c>
      <c r="J99" s="223" t="s">
        <v>536</v>
      </c>
      <c r="K99" s="219" t="s">
        <v>64</v>
      </c>
      <c r="M99" s="21"/>
      <c r="N99" s="21"/>
      <c r="O99" s="21"/>
      <c r="P99" s="36"/>
      <c r="Q99" s="21"/>
      <c r="R99" s="21"/>
      <c r="S99" s="21"/>
      <c r="T99" s="21"/>
      <c r="U99" s="21"/>
      <c r="V99" s="21"/>
      <c r="W99" s="21"/>
      <c r="Z99" s="220" t="s">
        <v>538</v>
      </c>
      <c r="AA99" s="221" t="s">
        <v>537</v>
      </c>
      <c r="AB99" s="223" t="s">
        <v>536</v>
      </c>
      <c r="AC99" s="219" t="s">
        <v>64</v>
      </c>
      <c r="AE99" s="21"/>
      <c r="AF99" s="21"/>
      <c r="AG99" s="21"/>
      <c r="AH99" s="36"/>
      <c r="AI99" s="21"/>
      <c r="AJ99" s="21"/>
      <c r="AK99" s="21"/>
      <c r="AL99" s="21"/>
      <c r="AM99" s="21"/>
      <c r="AN99" s="21"/>
      <c r="AO99" s="21"/>
      <c r="AR99" s="220" t="s">
        <v>538</v>
      </c>
      <c r="AS99" s="221" t="s">
        <v>537</v>
      </c>
      <c r="AT99" s="223" t="s">
        <v>536</v>
      </c>
      <c r="AU99" s="219" t="s">
        <v>64</v>
      </c>
      <c r="AW99" s="21"/>
      <c r="AX99" s="21"/>
      <c r="AY99" s="21"/>
      <c r="AZ99" s="36"/>
      <c r="BA99" s="21"/>
      <c r="BB99" s="21"/>
      <c r="BC99" s="21"/>
      <c r="BD99" s="21"/>
      <c r="BE99" s="21"/>
      <c r="BF99" s="21"/>
      <c r="BG99" s="21"/>
      <c r="BH99" s="36"/>
      <c r="BI99" s="21"/>
      <c r="BK99" s="21"/>
      <c r="BL99" s="21"/>
      <c r="BM99" s="21"/>
      <c r="BN99" s="21"/>
      <c r="BP99" s="49"/>
      <c r="BQ99" s="278"/>
    </row>
    <row r="100" spans="1:69" ht="12.75">
      <c r="A100">
        <v>70</v>
      </c>
      <c r="C100" s="134" t="s">
        <v>45</v>
      </c>
      <c r="D100" s="47"/>
      <c r="E100" s="21"/>
      <c r="F100" s="135"/>
      <c r="H100" s="138">
        <f>IF(H$2+$E$10&gt;1,1,0)</f>
        <v>0</v>
      </c>
      <c r="I100" s="139">
        <f>IF(H$3+$E$10&gt;1,1,0)</f>
        <v>0</v>
      </c>
      <c r="J100" s="226">
        <f aca="true" t="shared" si="102" ref="J100:J105">IF(H$4+$E$10&gt;1,1,0)</f>
        <v>0</v>
      </c>
      <c r="K100" s="135"/>
      <c r="M100" s="21"/>
      <c r="N100" s="21">
        <f aca="true" t="shared" si="103" ref="N100:N106">SUM(E100:L100)</f>
        <v>0</v>
      </c>
      <c r="O100" s="21">
        <f aca="true" t="shared" si="104" ref="O100:O106">IF(AND(P$10&gt;0,$N100&gt;0),1,0)</f>
        <v>0</v>
      </c>
      <c r="P100" s="36">
        <f>IF($E$9+$E$10=2,0,(Q100)*(0.5+(P10/30))*O100)</f>
        <v>0</v>
      </c>
      <c r="Q100" s="21">
        <v>520</v>
      </c>
      <c r="R100" s="24">
        <f>P100/50</f>
        <v>0</v>
      </c>
      <c r="S100" s="21">
        <f>O100*1</f>
        <v>0</v>
      </c>
      <c r="T100" s="21">
        <f>O100*1</f>
        <v>0</v>
      </c>
      <c r="U100" s="21"/>
      <c r="V100" s="21"/>
      <c r="W100" s="21">
        <f>IF(Etude!M$10=1,0,V100)</f>
        <v>0</v>
      </c>
      <c r="Z100" s="138">
        <f>IF(Z$2+$E$10&gt;1,1,0)</f>
        <v>0</v>
      </c>
      <c r="AA100" s="139">
        <f>IF(Z$3+$E$10&gt;1,1,0)</f>
        <v>0</v>
      </c>
      <c r="AB100" s="226">
        <f aca="true" t="shared" si="105" ref="AB100:AB105">IF(Z$4+$E$10&gt;1,1,0)</f>
        <v>0</v>
      </c>
      <c r="AC100" s="135"/>
      <c r="AE100" s="21"/>
      <c r="AF100" s="21">
        <f aca="true" t="shared" si="106" ref="AF100:AF105">SUM(W100:AD100)</f>
        <v>0</v>
      </c>
      <c r="AG100" s="21">
        <f aca="true" t="shared" si="107" ref="AG100:AG105">IF(AND(AH$10&gt;0,$N100&gt;0),1,0)</f>
        <v>0</v>
      </c>
      <c r="AH100" s="36">
        <f>IF($E$9+$E$10=2,0,(AI100)*(0.5+(AH10/30))*AG100)</f>
        <v>0</v>
      </c>
      <c r="AI100" s="21">
        <v>520</v>
      </c>
      <c r="AJ100" s="24">
        <f>AH100/50</f>
        <v>0</v>
      </c>
      <c r="AK100" s="21">
        <f>AG100*1</f>
        <v>0</v>
      </c>
      <c r="AL100" s="21">
        <f>AG100*1</f>
        <v>0</v>
      </c>
      <c r="AM100" s="21"/>
      <c r="AN100" s="21"/>
      <c r="AO100" s="21">
        <f>IF(Etude!S$10=1,0,AN100)</f>
        <v>0</v>
      </c>
      <c r="AR100" s="138">
        <f>IF(AR$2+$E$10&gt;1,1,0)</f>
        <v>0</v>
      </c>
      <c r="AS100" s="139">
        <f>IF(AR$3+$E$10&gt;1,1,0)</f>
        <v>0</v>
      </c>
      <c r="AT100" s="226">
        <f aca="true" t="shared" si="108" ref="AT100:AT105">IF(AR$4+$E$10&gt;1,1,0)</f>
        <v>0</v>
      </c>
      <c r="AU100" s="135"/>
      <c r="AW100" s="21"/>
      <c r="AX100" s="21">
        <f aca="true" t="shared" si="109" ref="AX100:AX105">SUM(AO100:AV100)</f>
        <v>0</v>
      </c>
      <c r="AY100" s="21">
        <f aca="true" t="shared" si="110" ref="AY100:AY105">IF(AND(AZ$10&gt;0,$N100&gt;0),1,0)</f>
        <v>0</v>
      </c>
      <c r="AZ100" s="36">
        <f>IF($E$9+$E$10=2,0,(BA100)*(0.5+(AZ10/30))*AY100)</f>
        <v>0</v>
      </c>
      <c r="BA100" s="21">
        <v>520</v>
      </c>
      <c r="BB100" s="24">
        <f>AZ100/50</f>
        <v>0</v>
      </c>
      <c r="BC100" s="21">
        <f>AY100*1</f>
        <v>0</v>
      </c>
      <c r="BD100" s="21">
        <f>AY100*1</f>
        <v>0</v>
      </c>
      <c r="BE100" s="21"/>
      <c r="BF100" s="239"/>
      <c r="BG100" s="239"/>
      <c r="BH100" s="36"/>
      <c r="BI100" s="21"/>
      <c r="BK100" s="21"/>
      <c r="BL100" s="21"/>
      <c r="BM100" s="21"/>
      <c r="BN100" s="24">
        <f>R100+AJ100+BB100</f>
        <v>0</v>
      </c>
      <c r="BO100">
        <f>O100+AG100+AY100</f>
        <v>0</v>
      </c>
      <c r="BP100" s="49">
        <f>P100+AH100+AZ100</f>
        <v>0</v>
      </c>
      <c r="BQ100" s="279" t="s">
        <v>45</v>
      </c>
    </row>
    <row r="101" spans="1:69" ht="12.75">
      <c r="A101">
        <v>71</v>
      </c>
      <c r="C101" s="134" t="s">
        <v>302</v>
      </c>
      <c r="D101" s="47"/>
      <c r="E101" s="21"/>
      <c r="F101" s="135"/>
      <c r="H101" s="138">
        <f>IF(H$2+$E$10&gt;1,1,0)</f>
        <v>0</v>
      </c>
      <c r="I101" s="139">
        <f>IF(H$3+$E$10&gt;1,1,0)</f>
        <v>0</v>
      </c>
      <c r="J101" s="226">
        <f t="shared" si="102"/>
        <v>0</v>
      </c>
      <c r="K101" s="135"/>
      <c r="M101" s="21"/>
      <c r="N101" s="21">
        <f t="shared" si="103"/>
        <v>0</v>
      </c>
      <c r="O101" s="21">
        <f t="shared" si="104"/>
        <v>0</v>
      </c>
      <c r="P101" s="36">
        <f>IF($E$9+$E$10=2,0,(Q101)*(0.5+(P10/30))*O101)</f>
        <v>0</v>
      </c>
      <c r="Q101" s="21">
        <v>540</v>
      </c>
      <c r="R101" s="24">
        <f>P101/50</f>
        <v>0</v>
      </c>
      <c r="S101" s="21">
        <f>O101*4</f>
        <v>0</v>
      </c>
      <c r="T101" s="21">
        <f>O101*4</f>
        <v>0</v>
      </c>
      <c r="U101" s="21"/>
      <c r="V101" s="21"/>
      <c r="W101" s="21">
        <f>IF(Etude!M$10=1,0,V101)</f>
        <v>0</v>
      </c>
      <c r="Z101" s="138">
        <f>IF(Z$2+$E$10&gt;1,1,0)</f>
        <v>0</v>
      </c>
      <c r="AA101" s="139">
        <f>IF(Z$3+$E$10&gt;1,1,0)</f>
        <v>0</v>
      </c>
      <c r="AB101" s="226">
        <f t="shared" si="105"/>
        <v>0</v>
      </c>
      <c r="AC101" s="135"/>
      <c r="AE101" s="21"/>
      <c r="AF101" s="21">
        <f t="shared" si="106"/>
        <v>0</v>
      </c>
      <c r="AG101" s="21">
        <f t="shared" si="107"/>
        <v>0</v>
      </c>
      <c r="AH101" s="36">
        <f>IF($E$9+$E$10=2,0,(AI101)*(0.5+(AH10/30))*AG101)</f>
        <v>0</v>
      </c>
      <c r="AI101" s="21">
        <v>540</v>
      </c>
      <c r="AJ101" s="24">
        <f>AH101/50</f>
        <v>0</v>
      </c>
      <c r="AK101" s="21">
        <f>AG101*4</f>
        <v>0</v>
      </c>
      <c r="AL101" s="21">
        <f>AG101*4</f>
        <v>0</v>
      </c>
      <c r="AM101" s="21"/>
      <c r="AN101" s="21"/>
      <c r="AO101" s="21">
        <f>IF(Etude!S$10=1,0,AN101)</f>
        <v>0</v>
      </c>
      <c r="AR101" s="138">
        <f>IF(AR$2+$E$10&gt;1,1,0)</f>
        <v>0</v>
      </c>
      <c r="AS101" s="139">
        <f>IF(AR$3+$E$10&gt;1,1,0)</f>
        <v>0</v>
      </c>
      <c r="AT101" s="226">
        <f t="shared" si="108"/>
        <v>0</v>
      </c>
      <c r="AU101" s="135"/>
      <c r="AW101" s="21"/>
      <c r="AX101" s="21">
        <f t="shared" si="109"/>
        <v>0</v>
      </c>
      <c r="AY101" s="21">
        <f t="shared" si="110"/>
        <v>0</v>
      </c>
      <c r="AZ101" s="36">
        <f>IF($E$9+$E$10=2,0,(BA101)*(0.5+(AZ10/30))*AY101)</f>
        <v>0</v>
      </c>
      <c r="BA101" s="21">
        <v>540</v>
      </c>
      <c r="BB101" s="24">
        <f>AZ101/50</f>
        <v>0</v>
      </c>
      <c r="BC101" s="21">
        <f>AY101*4</f>
        <v>0</v>
      </c>
      <c r="BD101" s="21">
        <f>AY101*4</f>
        <v>0</v>
      </c>
      <c r="BE101" s="21"/>
      <c r="BF101" s="239"/>
      <c r="BG101" s="239"/>
      <c r="BH101" s="36"/>
      <c r="BI101" s="21"/>
      <c r="BK101" s="21"/>
      <c r="BL101" s="21"/>
      <c r="BM101" s="21"/>
      <c r="BN101" s="24">
        <f>R101+AJ101+BB101</f>
        <v>0</v>
      </c>
      <c r="BO101">
        <f>O101+AG101+AY101</f>
        <v>0</v>
      </c>
      <c r="BP101" s="49">
        <f>P101+AH101+AZ101</f>
        <v>0</v>
      </c>
      <c r="BQ101" s="279" t="s">
        <v>302</v>
      </c>
    </row>
    <row r="102" spans="1:69" ht="12.75">
      <c r="A102">
        <v>72</v>
      </c>
      <c r="C102" s="134" t="s">
        <v>311</v>
      </c>
      <c r="D102" s="47">
        <f>IF(AND(Etude!$M$71=TRUE,Etude!$Q64=FALSE),1,0)</f>
        <v>0</v>
      </c>
      <c r="E102" s="21">
        <f>IF(Etude!G$10=1,0,D102)</f>
        <v>0</v>
      </c>
      <c r="F102" s="135"/>
      <c r="H102" s="34"/>
      <c r="I102" s="139">
        <f>IF(H$3+$E$10&gt;1,1,0)</f>
        <v>0</v>
      </c>
      <c r="J102" s="226">
        <f t="shared" si="102"/>
        <v>0</v>
      </c>
      <c r="K102" s="135"/>
      <c r="M102" s="21"/>
      <c r="N102" s="21">
        <f t="shared" si="103"/>
        <v>0</v>
      </c>
      <c r="O102" s="21">
        <f t="shared" si="104"/>
        <v>0</v>
      </c>
      <c r="P102" s="36"/>
      <c r="Q102" s="21"/>
      <c r="R102" s="24"/>
      <c r="S102" s="21"/>
      <c r="T102" s="21"/>
      <c r="U102" s="21"/>
      <c r="V102" s="47">
        <f>IF(AND(Etude!$M$71=TRUE,Etude!$Q64=FALSE),1,0)</f>
        <v>0</v>
      </c>
      <c r="W102" s="21">
        <f>IF(Etude!M$10=1,0,V102)</f>
        <v>0</v>
      </c>
      <c r="Z102" s="34"/>
      <c r="AA102" s="139">
        <f>IF(Z$3+$E$10&gt;1,1,0)</f>
        <v>0</v>
      </c>
      <c r="AB102" s="226">
        <f t="shared" si="105"/>
        <v>0</v>
      </c>
      <c r="AC102" s="135"/>
      <c r="AE102" s="21"/>
      <c r="AF102" s="21">
        <f t="shared" si="106"/>
        <v>0</v>
      </c>
      <c r="AG102" s="21">
        <f t="shared" si="107"/>
        <v>0</v>
      </c>
      <c r="AH102" s="36"/>
      <c r="AI102" s="21"/>
      <c r="AJ102" s="24"/>
      <c r="AK102" s="21"/>
      <c r="AL102" s="21"/>
      <c r="AM102" s="21"/>
      <c r="AN102" s="47">
        <f>IF(AND(Etude!$M$71=TRUE,Etude!$Q64=FALSE),1,0)</f>
        <v>0</v>
      </c>
      <c r="AO102" s="21">
        <f>IF(Etude!S$10=1,0,AN102)</f>
        <v>0</v>
      </c>
      <c r="AR102" s="34"/>
      <c r="AS102" s="139">
        <f>IF(AR$3+$E$10&gt;1,1,0)</f>
        <v>0</v>
      </c>
      <c r="AT102" s="226">
        <f t="shared" si="108"/>
        <v>0</v>
      </c>
      <c r="AU102" s="135"/>
      <c r="AW102" s="21"/>
      <c r="AX102" s="21">
        <f t="shared" si="109"/>
        <v>0</v>
      </c>
      <c r="AY102" s="21">
        <f t="shared" si="110"/>
        <v>0</v>
      </c>
      <c r="AZ102" s="36"/>
      <c r="BA102" s="21"/>
      <c r="BB102" s="24"/>
      <c r="BC102" s="21"/>
      <c r="BD102" s="21"/>
      <c r="BE102" s="21"/>
      <c r="BF102" s="21">
        <f aca="true" t="shared" si="111" ref="BF102:BF111">SUM(E102:AV102)</f>
        <v>0</v>
      </c>
      <c r="BG102" s="21">
        <f>IF(AND(BN$10&gt;0,BF102&gt;0),1,0)</f>
        <v>0</v>
      </c>
      <c r="BH102" s="39">
        <f>BG102*(BI102+(BI102*0.01*BN$10))</f>
        <v>0</v>
      </c>
      <c r="BI102" s="21">
        <v>200</v>
      </c>
      <c r="BK102" s="21">
        <f>BG102*1</f>
        <v>0</v>
      </c>
      <c r="BL102" s="21">
        <f>BG102*1</f>
        <v>0</v>
      </c>
      <c r="BM102" s="21"/>
      <c r="BN102" s="24">
        <f>BH102/50</f>
        <v>0</v>
      </c>
      <c r="BO102">
        <f aca="true" t="shared" si="112" ref="BO102:BP105">BG102</f>
        <v>0</v>
      </c>
      <c r="BP102" s="49">
        <f t="shared" si="112"/>
        <v>0</v>
      </c>
      <c r="BQ102" s="279" t="s">
        <v>311</v>
      </c>
    </row>
    <row r="103" spans="1:69" ht="12.75">
      <c r="A103">
        <v>73</v>
      </c>
      <c r="C103" s="134" t="s">
        <v>308</v>
      </c>
      <c r="D103" s="47">
        <f>IF(AND(Etude!$M$72=TRUE,Etude!$Q64=FALSE),1,0)</f>
        <v>0</v>
      </c>
      <c r="E103" s="21">
        <f>IF(Etude!G$10=1,0,D103)</f>
        <v>0</v>
      </c>
      <c r="F103" s="135"/>
      <c r="H103" s="34"/>
      <c r="I103" s="33"/>
      <c r="J103" s="226">
        <f t="shared" si="102"/>
        <v>0</v>
      </c>
      <c r="K103" s="135"/>
      <c r="M103" s="21"/>
      <c r="N103" s="21">
        <f t="shared" si="103"/>
        <v>0</v>
      </c>
      <c r="O103" s="21">
        <f t="shared" si="104"/>
        <v>0</v>
      </c>
      <c r="P103" s="36"/>
      <c r="Q103" s="21"/>
      <c r="R103" s="24"/>
      <c r="S103" s="21"/>
      <c r="T103" s="21"/>
      <c r="U103" s="21"/>
      <c r="V103" s="47">
        <f>IF(AND(Etude!$M$72=TRUE,Etude!$Q64=FALSE),1,0)</f>
        <v>0</v>
      </c>
      <c r="W103" s="21">
        <f>IF(Etude!M$10=1,0,V103)</f>
        <v>0</v>
      </c>
      <c r="Z103" s="34"/>
      <c r="AA103" s="33"/>
      <c r="AB103" s="226">
        <f t="shared" si="105"/>
        <v>0</v>
      </c>
      <c r="AC103" s="135"/>
      <c r="AE103" s="21"/>
      <c r="AF103" s="21">
        <f t="shared" si="106"/>
        <v>0</v>
      </c>
      <c r="AG103" s="21">
        <f t="shared" si="107"/>
        <v>0</v>
      </c>
      <c r="AH103" s="36"/>
      <c r="AI103" s="21"/>
      <c r="AJ103" s="24"/>
      <c r="AK103" s="21"/>
      <c r="AL103" s="21"/>
      <c r="AM103" s="21"/>
      <c r="AN103" s="47">
        <f>IF(AND(Etude!$M$72=TRUE,Etude!$Q64=FALSE),1,0)</f>
        <v>0</v>
      </c>
      <c r="AO103" s="21">
        <f>IF(Etude!S$10=1,0,AN103)</f>
        <v>0</v>
      </c>
      <c r="AR103" s="34"/>
      <c r="AS103" s="33"/>
      <c r="AT103" s="226">
        <f t="shared" si="108"/>
        <v>0</v>
      </c>
      <c r="AU103" s="135"/>
      <c r="AW103" s="21"/>
      <c r="AX103" s="21">
        <f t="shared" si="109"/>
        <v>0</v>
      </c>
      <c r="AY103" s="21">
        <f t="shared" si="110"/>
        <v>0</v>
      </c>
      <c r="AZ103" s="36"/>
      <c r="BA103" s="21"/>
      <c r="BB103" s="24"/>
      <c r="BC103" s="21"/>
      <c r="BD103" s="21"/>
      <c r="BE103" s="21"/>
      <c r="BF103" s="21">
        <f t="shared" si="111"/>
        <v>0</v>
      </c>
      <c r="BG103" s="21">
        <f>IF(AND(BN$10&gt;0,BF103&gt;0),1,0)</f>
        <v>0</v>
      </c>
      <c r="BH103" s="39">
        <f>BG103*BI103</f>
        <v>0</v>
      </c>
      <c r="BI103" s="21">
        <v>1180</v>
      </c>
      <c r="BK103" s="21">
        <f>BG103*1</f>
        <v>0</v>
      </c>
      <c r="BL103" s="21">
        <f>BG103*1</f>
        <v>0</v>
      </c>
      <c r="BM103" s="21"/>
      <c r="BN103" s="24">
        <f>BH103/50</f>
        <v>0</v>
      </c>
      <c r="BO103">
        <f t="shared" si="112"/>
        <v>0</v>
      </c>
      <c r="BP103" s="49">
        <f t="shared" si="112"/>
        <v>0</v>
      </c>
      <c r="BQ103" s="279" t="s">
        <v>308</v>
      </c>
    </row>
    <row r="104" spans="1:69" ht="12.75">
      <c r="A104">
        <v>74</v>
      </c>
      <c r="C104" s="134" t="s">
        <v>310</v>
      </c>
      <c r="D104" s="47">
        <f>IF(AND(Etude!$M$73=TRUE,Etude!$Q64=FALSE),1,0)</f>
        <v>0</v>
      </c>
      <c r="E104" s="21">
        <f>IF(Etude!G$10=1,0,D104)</f>
        <v>0</v>
      </c>
      <c r="F104" s="135"/>
      <c r="H104" s="34"/>
      <c r="I104" s="139">
        <f>IF(H$3+$E$10&gt;1,1,0)</f>
        <v>0</v>
      </c>
      <c r="J104" s="226">
        <f t="shared" si="102"/>
        <v>0</v>
      </c>
      <c r="K104" s="135"/>
      <c r="M104" s="21"/>
      <c r="N104" s="21">
        <f t="shared" si="103"/>
        <v>0</v>
      </c>
      <c r="O104" s="21">
        <f t="shared" si="104"/>
        <v>0</v>
      </c>
      <c r="P104" s="36"/>
      <c r="Q104" s="21"/>
      <c r="R104" s="24"/>
      <c r="S104" s="21"/>
      <c r="T104" s="21"/>
      <c r="U104" s="21"/>
      <c r="V104" s="47">
        <f>IF(AND(Etude!$M$73=TRUE,Etude!$Q64=FALSE),1,0)</f>
        <v>0</v>
      </c>
      <c r="W104" s="21">
        <f>IF(Etude!M$10=1,0,V104)</f>
        <v>0</v>
      </c>
      <c r="Z104" s="34"/>
      <c r="AA104" s="139">
        <f>IF(Z$3+$E$10&gt;1,1,0)</f>
        <v>0</v>
      </c>
      <c r="AB104" s="226">
        <f t="shared" si="105"/>
        <v>0</v>
      </c>
      <c r="AC104" s="135"/>
      <c r="AE104" s="21"/>
      <c r="AF104" s="21">
        <f t="shared" si="106"/>
        <v>0</v>
      </c>
      <c r="AG104" s="21">
        <f t="shared" si="107"/>
        <v>0</v>
      </c>
      <c r="AH104" s="36"/>
      <c r="AI104" s="21"/>
      <c r="AJ104" s="24"/>
      <c r="AK104" s="21"/>
      <c r="AL104" s="21"/>
      <c r="AM104" s="21"/>
      <c r="AN104" s="47">
        <f>IF(AND(Etude!$M$73=TRUE,Etude!$Q64=FALSE),1,0)</f>
        <v>0</v>
      </c>
      <c r="AO104" s="21">
        <f>IF(Etude!S$10=1,0,AN104)</f>
        <v>0</v>
      </c>
      <c r="AR104" s="34"/>
      <c r="AS104" s="139">
        <f>IF(AR$3+$E$10&gt;1,1,0)</f>
        <v>0</v>
      </c>
      <c r="AT104" s="226">
        <f t="shared" si="108"/>
        <v>0</v>
      </c>
      <c r="AU104" s="135"/>
      <c r="AW104" s="21"/>
      <c r="AX104" s="21">
        <f t="shared" si="109"/>
        <v>0</v>
      </c>
      <c r="AY104" s="21">
        <f t="shared" si="110"/>
        <v>0</v>
      </c>
      <c r="AZ104" s="36"/>
      <c r="BA104" s="21"/>
      <c r="BB104" s="24"/>
      <c r="BC104" s="21"/>
      <c r="BD104" s="21"/>
      <c r="BE104" s="21"/>
      <c r="BF104" s="21">
        <f t="shared" si="111"/>
        <v>0</v>
      </c>
      <c r="BG104" s="21">
        <f>IF(AND(BN$10&gt;0,BF104&gt;0),1,0)</f>
        <v>0</v>
      </c>
      <c r="BH104" s="39">
        <f>BG104*(BI104+(BI104*0.01*BN$10))</f>
        <v>0</v>
      </c>
      <c r="BI104" s="21">
        <v>210</v>
      </c>
      <c r="BK104" s="21">
        <f>BG104*1</f>
        <v>0</v>
      </c>
      <c r="BL104" s="21">
        <f>BG104*1</f>
        <v>0</v>
      </c>
      <c r="BM104" s="21"/>
      <c r="BN104" s="24">
        <f>BH104/50</f>
        <v>0</v>
      </c>
      <c r="BO104">
        <f t="shared" si="112"/>
        <v>0</v>
      </c>
      <c r="BP104" s="49">
        <f t="shared" si="112"/>
        <v>0</v>
      </c>
      <c r="BQ104" s="279" t="s">
        <v>310</v>
      </c>
    </row>
    <row r="105" spans="1:69" ht="12.75">
      <c r="A105">
        <v>75</v>
      </c>
      <c r="C105" s="134" t="s">
        <v>309</v>
      </c>
      <c r="D105" s="47">
        <f>IF(AND(Etude!$M$74=TRUE,Etude!$Q64=FALSE),1,0)</f>
        <v>0</v>
      </c>
      <c r="E105" s="21">
        <f>IF(Etude!G$10=1,0,D105)</f>
        <v>0</v>
      </c>
      <c r="F105" s="135"/>
      <c r="H105" s="34"/>
      <c r="I105" s="33"/>
      <c r="J105" s="226">
        <f t="shared" si="102"/>
        <v>0</v>
      </c>
      <c r="K105" s="135"/>
      <c r="M105" s="21"/>
      <c r="N105" s="21">
        <f t="shared" si="103"/>
        <v>0</v>
      </c>
      <c r="O105" s="21">
        <f t="shared" si="104"/>
        <v>0</v>
      </c>
      <c r="P105" s="36"/>
      <c r="Q105" s="21"/>
      <c r="R105" s="24"/>
      <c r="S105" s="21"/>
      <c r="T105" s="21"/>
      <c r="U105" s="21"/>
      <c r="V105" s="47">
        <f>IF(AND(Etude!$M$74=TRUE,Etude!$Q64=FALSE),1,0)</f>
        <v>0</v>
      </c>
      <c r="W105" s="21">
        <f>IF(Etude!M$10=1,0,V105)</f>
        <v>0</v>
      </c>
      <c r="Z105" s="34"/>
      <c r="AA105" s="33"/>
      <c r="AB105" s="226">
        <f t="shared" si="105"/>
        <v>0</v>
      </c>
      <c r="AC105" s="135"/>
      <c r="AE105" s="21"/>
      <c r="AF105" s="21">
        <f t="shared" si="106"/>
        <v>0</v>
      </c>
      <c r="AG105" s="21">
        <f t="shared" si="107"/>
        <v>0</v>
      </c>
      <c r="AH105" s="36"/>
      <c r="AI105" s="21"/>
      <c r="AJ105" s="24"/>
      <c r="AK105" s="21"/>
      <c r="AL105" s="21"/>
      <c r="AM105" s="21"/>
      <c r="AN105" s="47">
        <f>IF(AND(Etude!$M$74=TRUE,Etude!$Q64=FALSE),1,0)</f>
        <v>0</v>
      </c>
      <c r="AO105" s="21">
        <f>IF(Etude!S$10=1,0,AN105)</f>
        <v>0</v>
      </c>
      <c r="AR105" s="34"/>
      <c r="AS105" s="33"/>
      <c r="AT105" s="226">
        <f t="shared" si="108"/>
        <v>0</v>
      </c>
      <c r="AU105" s="135"/>
      <c r="AW105" s="21"/>
      <c r="AX105" s="21">
        <f t="shared" si="109"/>
        <v>0</v>
      </c>
      <c r="AY105" s="21">
        <f t="shared" si="110"/>
        <v>0</v>
      </c>
      <c r="AZ105" s="36"/>
      <c r="BA105" s="21"/>
      <c r="BB105" s="24"/>
      <c r="BC105" s="21"/>
      <c r="BD105" s="21"/>
      <c r="BE105" s="21"/>
      <c r="BF105" s="21">
        <f t="shared" si="111"/>
        <v>0</v>
      </c>
      <c r="BG105" s="21">
        <f>IF(AND(BN$10&gt;0,BF105&gt;0),1,0)</f>
        <v>0</v>
      </c>
      <c r="BH105" s="39">
        <f>BG105*BI105</f>
        <v>0</v>
      </c>
      <c r="BI105" s="21">
        <v>580</v>
      </c>
      <c r="BK105" s="21">
        <f>BG105*8</f>
        <v>0</v>
      </c>
      <c r="BL105" s="21">
        <f>BG105*1</f>
        <v>0</v>
      </c>
      <c r="BM105" s="21"/>
      <c r="BN105" s="24">
        <f>BH105/50</f>
        <v>0</v>
      </c>
      <c r="BO105">
        <f t="shared" si="112"/>
        <v>0</v>
      </c>
      <c r="BP105" s="49">
        <f t="shared" si="112"/>
        <v>0</v>
      </c>
      <c r="BQ105" s="279" t="s">
        <v>309</v>
      </c>
    </row>
    <row r="106" spans="1:68" ht="13.5">
      <c r="A106">
        <v>76</v>
      </c>
      <c r="C106" t="s">
        <v>102</v>
      </c>
      <c r="D106" s="47">
        <f>IF(AND(Etude!J76=TRUE,Etude!$Q64=FALSE),1,0)</f>
        <v>0</v>
      </c>
      <c r="E106" s="21">
        <f>IF(Etude!G$10=1,0,D106)</f>
        <v>0</v>
      </c>
      <c r="F106" s="135"/>
      <c r="H106" s="34"/>
      <c r="I106" s="33"/>
      <c r="J106" s="47">
        <f>IF(H$4+$E$10&gt;1,1,0)</f>
        <v>0</v>
      </c>
      <c r="K106" s="135"/>
      <c r="M106" s="21"/>
      <c r="N106" s="21">
        <f t="shared" si="103"/>
        <v>0</v>
      </c>
      <c r="O106" s="21">
        <f t="shared" si="104"/>
        <v>0</v>
      </c>
      <c r="P106" s="36">
        <f>(Q106)*(0.5+(P10/30))*O106</f>
        <v>0</v>
      </c>
      <c r="Q106" s="26">
        <v>1800</v>
      </c>
      <c r="R106" s="24">
        <f>P106/50</f>
        <v>0</v>
      </c>
      <c r="S106" s="21">
        <f>O106*3</f>
        <v>0</v>
      </c>
      <c r="T106" s="21">
        <f>O106*3</f>
        <v>0</v>
      </c>
      <c r="U106" s="21"/>
      <c r="V106" s="47">
        <f>IF(AND(Etude!M76=TRUE,Etude!$Q64=FALSE),1,0)</f>
        <v>0</v>
      </c>
      <c r="W106" s="21">
        <f>IF(Etude!M$10=1,0,V106)</f>
        <v>0</v>
      </c>
      <c r="Z106" s="34"/>
      <c r="AA106" s="33"/>
      <c r="AB106" s="47">
        <f>IF(Z$4+$E$10&gt;1,1,0)</f>
        <v>0</v>
      </c>
      <c r="AC106" s="135"/>
      <c r="AE106" s="21"/>
      <c r="AF106" s="21">
        <f>SUM(W106:AD106)</f>
        <v>0</v>
      </c>
      <c r="AG106" s="21">
        <f>IF(AND(AH$10&gt;0,$N106&gt;0),1,0)</f>
        <v>0</v>
      </c>
      <c r="AH106" s="36">
        <f>(AI106)*(0.5+(AH10/30))*AG106</f>
        <v>0</v>
      </c>
      <c r="AI106" s="26">
        <v>1800</v>
      </c>
      <c r="AJ106" s="24">
        <f>AH106/50</f>
        <v>0</v>
      </c>
      <c r="AK106" s="21">
        <f>AG106*3</f>
        <v>0</v>
      </c>
      <c r="AL106" s="21">
        <f>AG106*3</f>
        <v>0</v>
      </c>
      <c r="AM106" s="21"/>
      <c r="AN106" s="47">
        <f>IF(AND(Etude!O76=TRUE,Etude!$Q64=FALSE),1,0)</f>
        <v>0</v>
      </c>
      <c r="AO106" s="21">
        <f>IF(Etude!S$12=1,0,AN106)</f>
        <v>0</v>
      </c>
      <c r="AR106" s="34"/>
      <c r="AS106" s="33"/>
      <c r="AT106" s="47">
        <f>IF(AR$4+$E$10&gt;1,1,0)</f>
        <v>0</v>
      </c>
      <c r="AU106" s="135"/>
      <c r="AW106" s="21"/>
      <c r="AX106" s="21">
        <f>SUM(AO106:AV106)</f>
        <v>0</v>
      </c>
      <c r="AY106" s="21">
        <f>IF(AND(AZ$10&gt;0,$N106&gt;0),1,0)</f>
        <v>0</v>
      </c>
      <c r="AZ106" s="36">
        <f>(BA106)*(0.5+(AZ10/30))*AY106</f>
        <v>0</v>
      </c>
      <c r="BA106" s="26">
        <v>1800</v>
      </c>
      <c r="BB106" s="24">
        <f>AZ106/50</f>
        <v>0</v>
      </c>
      <c r="BC106" s="21">
        <f>AY106*3</f>
        <v>0</v>
      </c>
      <c r="BD106" s="21">
        <f>AY106*3</f>
        <v>0</v>
      </c>
      <c r="BE106" s="21"/>
      <c r="BM106" s="21"/>
      <c r="BN106" s="24">
        <f>R106+AJ106+BB106</f>
        <v>0</v>
      </c>
      <c r="BO106">
        <f>O106+AG106+AY106</f>
        <v>0</v>
      </c>
      <c r="BP106" s="49">
        <f>P106+AH106+AZ106</f>
        <v>0</v>
      </c>
    </row>
    <row r="107" spans="3:69" ht="12.75">
      <c r="C107" s="134"/>
      <c r="D107" s="47"/>
      <c r="E107" s="21"/>
      <c r="F107" s="135"/>
      <c r="H107" s="34"/>
      <c r="I107" s="33"/>
      <c r="J107" s="224"/>
      <c r="K107" s="135"/>
      <c r="M107" s="21"/>
      <c r="N107" s="21"/>
      <c r="O107" s="21"/>
      <c r="P107" s="36"/>
      <c r="Q107" s="21"/>
      <c r="R107" s="21"/>
      <c r="S107" s="21"/>
      <c r="T107" s="21"/>
      <c r="U107" s="21"/>
      <c r="V107" s="21"/>
      <c r="W107" s="21"/>
      <c r="Z107" s="34"/>
      <c r="AA107" s="33"/>
      <c r="AB107" s="224"/>
      <c r="AC107" s="135"/>
      <c r="AE107" s="21"/>
      <c r="AF107" s="21"/>
      <c r="AG107" s="21"/>
      <c r="AH107" s="36"/>
      <c r="AI107" s="21"/>
      <c r="AJ107" s="21"/>
      <c r="AK107" s="21"/>
      <c r="AL107" s="21"/>
      <c r="AM107" s="21"/>
      <c r="AN107" s="21"/>
      <c r="AO107" s="21"/>
      <c r="AR107" s="34"/>
      <c r="AS107" s="33"/>
      <c r="AT107" s="224"/>
      <c r="AU107" s="135"/>
      <c r="AW107" s="21"/>
      <c r="AX107" s="21"/>
      <c r="AY107" s="21"/>
      <c r="AZ107" s="36"/>
      <c r="BA107" s="21"/>
      <c r="BB107" s="21"/>
      <c r="BC107" s="21"/>
      <c r="BD107" s="21"/>
      <c r="BE107" s="21"/>
      <c r="BF107" s="21"/>
      <c r="BG107" s="21"/>
      <c r="BH107" s="36"/>
      <c r="BI107" s="21"/>
      <c r="BK107" s="21"/>
      <c r="BL107" s="21"/>
      <c r="BM107" s="21"/>
      <c r="BN107" s="38"/>
      <c r="BP107" s="49"/>
      <c r="BQ107" s="278"/>
    </row>
    <row r="108" spans="1:69" ht="12.75">
      <c r="A108">
        <v>79</v>
      </c>
      <c r="C108" t="s">
        <v>95</v>
      </c>
      <c r="D108" s="47">
        <f>Etude!$J$134</f>
        <v>0</v>
      </c>
      <c r="E108" s="21">
        <f>IF(Etude!$G$10=1,0,D108)</f>
        <v>0</v>
      </c>
      <c r="F108" s="135"/>
      <c r="H108" s="34"/>
      <c r="I108" s="33"/>
      <c r="J108" s="224"/>
      <c r="K108" s="135"/>
      <c r="M108" s="21"/>
      <c r="P108" s="36"/>
      <c r="Q108" s="21"/>
      <c r="R108" s="21"/>
      <c r="S108" s="21"/>
      <c r="T108" s="21"/>
      <c r="U108" s="21"/>
      <c r="Z108" s="34"/>
      <c r="AA108" s="33"/>
      <c r="AB108" s="224"/>
      <c r="AC108" s="135"/>
      <c r="AE108" s="21"/>
      <c r="AG108" s="21"/>
      <c r="AH108" s="36"/>
      <c r="AI108" s="21"/>
      <c r="AJ108" s="21"/>
      <c r="AK108" s="21"/>
      <c r="AL108" s="21"/>
      <c r="AM108" s="21"/>
      <c r="AR108" s="34"/>
      <c r="AS108" s="33"/>
      <c r="AT108" s="224"/>
      <c r="AU108" s="135"/>
      <c r="AW108" s="21"/>
      <c r="AZ108" s="36"/>
      <c r="BA108" s="21"/>
      <c r="BB108" s="21"/>
      <c r="BC108" s="21"/>
      <c r="BD108" s="21"/>
      <c r="BE108" s="21"/>
      <c r="BF108" s="21">
        <f t="shared" si="111"/>
        <v>0</v>
      </c>
      <c r="BG108" s="21">
        <f>IF(AND(BN$10&gt;0,BF108&gt;0),1,0)</f>
        <v>0</v>
      </c>
      <c r="BH108" s="39">
        <f>BF108*BI108</f>
        <v>0</v>
      </c>
      <c r="BI108" s="21">
        <v>300</v>
      </c>
      <c r="BK108" s="21"/>
      <c r="BL108" s="21"/>
      <c r="BM108" s="21"/>
      <c r="BN108" s="38">
        <f>+BH108/60</f>
        <v>0</v>
      </c>
      <c r="BO108">
        <f>BG108</f>
        <v>0</v>
      </c>
      <c r="BP108" s="49">
        <f>P108+AH108+AZ108+BH108</f>
        <v>0</v>
      </c>
      <c r="BQ108" s="278" t="s">
        <v>95</v>
      </c>
    </row>
    <row r="109" spans="1:69" ht="12.75">
      <c r="A109">
        <v>77</v>
      </c>
      <c r="C109" s="134" t="s">
        <v>432</v>
      </c>
      <c r="D109" s="47">
        <f>IF(Etude!$M$130=TRUE,1,0)</f>
        <v>0</v>
      </c>
      <c r="E109" s="21">
        <f>IF(Etude!$G$10=1,0,D109)</f>
        <v>0</v>
      </c>
      <c r="F109" s="135"/>
      <c r="H109" s="34"/>
      <c r="I109" s="33"/>
      <c r="J109" s="224"/>
      <c r="K109" s="135"/>
      <c r="M109" s="21"/>
      <c r="N109" s="21">
        <f>SUM(E109:L109)</f>
        <v>0</v>
      </c>
      <c r="O109" s="21">
        <f>IF($N109&gt;0,1,0)</f>
        <v>0</v>
      </c>
      <c r="P109" s="36"/>
      <c r="Q109" s="21"/>
      <c r="R109" s="21"/>
      <c r="S109" s="21"/>
      <c r="T109" s="21"/>
      <c r="U109" s="21"/>
      <c r="V109" s="47">
        <f>IF(Etude!$M$130=TRUE,1,0)</f>
        <v>0</v>
      </c>
      <c r="W109" s="21">
        <f>IF(Etude!M$10=1,0,V109)</f>
        <v>0</v>
      </c>
      <c r="Z109" s="34"/>
      <c r="AA109" s="33"/>
      <c r="AB109" s="224"/>
      <c r="AC109" s="135"/>
      <c r="AE109" s="21"/>
      <c r="AF109" s="21">
        <f>SUM(W109:AD109)</f>
        <v>0</v>
      </c>
      <c r="AG109" s="21">
        <f>IF(AND(AH$10&gt;0,$N109&gt;0),1,0)</f>
        <v>0</v>
      </c>
      <c r="AH109" s="36"/>
      <c r="AI109" s="21"/>
      <c r="AJ109" s="21"/>
      <c r="AK109" s="21"/>
      <c r="AL109" s="21"/>
      <c r="AM109" s="21"/>
      <c r="AN109" s="47">
        <f>IF(Etude!$M$130=TRUE,1,0)</f>
        <v>0</v>
      </c>
      <c r="AO109" s="21">
        <f>IF(Etude!S$10=1,0,AN109)</f>
        <v>0</v>
      </c>
      <c r="AR109" s="34"/>
      <c r="AS109" s="33"/>
      <c r="AT109" s="224"/>
      <c r="AU109" s="135"/>
      <c r="AW109" s="21"/>
      <c r="AX109" s="21">
        <f>SUM(AO109:AV109)</f>
        <v>0</v>
      </c>
      <c r="AY109" s="21">
        <f>IF(AND(AZ$10&gt;0,$N109&gt;0),1,0)</f>
        <v>0</v>
      </c>
      <c r="AZ109" s="36"/>
      <c r="BA109" s="21"/>
      <c r="BB109" s="21"/>
      <c r="BC109" s="21"/>
      <c r="BD109" s="21"/>
      <c r="BE109" s="21"/>
      <c r="BF109" s="21">
        <f t="shared" si="111"/>
        <v>0</v>
      </c>
      <c r="BG109" s="21">
        <f>IF(AND(BN$10&gt;0,BF109&gt;0),1,0)</f>
        <v>0</v>
      </c>
      <c r="BH109" s="39">
        <f>BG109*BI109</f>
        <v>0</v>
      </c>
      <c r="BI109" s="21">
        <v>360</v>
      </c>
      <c r="BK109" s="21">
        <f>BG109*8</f>
        <v>0</v>
      </c>
      <c r="BL109" s="21">
        <f>BG109*1</f>
        <v>0</v>
      </c>
      <c r="BM109" s="21"/>
      <c r="BN109" s="24">
        <f>BH109/84</f>
        <v>0</v>
      </c>
      <c r="BO109">
        <f>BG109</f>
        <v>0</v>
      </c>
      <c r="BP109" s="49">
        <f>BH109</f>
        <v>0</v>
      </c>
      <c r="BQ109" s="279" t="s">
        <v>432</v>
      </c>
    </row>
    <row r="110" spans="1:69" ht="12.75">
      <c r="A110">
        <v>78</v>
      </c>
      <c r="C110" s="134" t="s">
        <v>435</v>
      </c>
      <c r="D110" s="47">
        <f>IF(Etude!$M$131=TRUE,1,0)</f>
        <v>0</v>
      </c>
      <c r="E110" s="21">
        <f>IF(Etude!$G$10=1,0,D110)</f>
        <v>0</v>
      </c>
      <c r="F110" s="135"/>
      <c r="H110" s="34"/>
      <c r="I110" s="33"/>
      <c r="J110" s="226">
        <f>IF(H$4+$E$9&gt;1,1,0)</f>
        <v>0</v>
      </c>
      <c r="K110" s="135"/>
      <c r="M110" s="21"/>
      <c r="N110" s="21">
        <f>SUM(E110:L110)</f>
        <v>0</v>
      </c>
      <c r="O110" s="21">
        <f>IF($N110&gt;0,1,0)</f>
        <v>0</v>
      </c>
      <c r="P110" s="36"/>
      <c r="Q110" s="21"/>
      <c r="R110" s="21"/>
      <c r="S110" s="21"/>
      <c r="T110" s="21"/>
      <c r="U110" s="21"/>
      <c r="V110" s="47">
        <f>IF(Etude!$M$131=TRUE,1,0)</f>
        <v>0</v>
      </c>
      <c r="W110" s="21">
        <f>IF(Etude!M$10=1,0,V110)</f>
        <v>0</v>
      </c>
      <c r="Z110" s="34"/>
      <c r="AA110" s="33"/>
      <c r="AB110" s="226">
        <f>IF(Z$4+$E$9&gt;1,1,0)</f>
        <v>0</v>
      </c>
      <c r="AC110" s="135"/>
      <c r="AE110" s="21"/>
      <c r="AF110" s="21">
        <f>SUM(W110:AD110)</f>
        <v>0</v>
      </c>
      <c r="AG110" s="21">
        <f>IF(AND(AH$10&gt;0,$N110&gt;0),1,0)</f>
        <v>0</v>
      </c>
      <c r="AH110" s="36"/>
      <c r="AI110" s="21"/>
      <c r="AJ110" s="21"/>
      <c r="AK110" s="21"/>
      <c r="AL110" s="21"/>
      <c r="AM110" s="21"/>
      <c r="AN110" s="47">
        <f>IF(Etude!$M$131=TRUE,1,0)</f>
        <v>0</v>
      </c>
      <c r="AO110" s="21">
        <f>IF(Etude!S$10=1,0,AN110)</f>
        <v>0</v>
      </c>
      <c r="AR110" s="34"/>
      <c r="AS110" s="33"/>
      <c r="AT110" s="226">
        <f>IF(AR$4+$E$9&gt;1,1,0)</f>
        <v>0</v>
      </c>
      <c r="AU110" s="135"/>
      <c r="AW110" s="21"/>
      <c r="AX110" s="21">
        <f>SUM(AO110:AV110)</f>
        <v>0</v>
      </c>
      <c r="AY110" s="21">
        <f>IF(AND(AZ$10&gt;0,$N110&gt;0),1,0)</f>
        <v>0</v>
      </c>
      <c r="AZ110" s="36"/>
      <c r="BA110" s="21"/>
      <c r="BB110" s="21"/>
      <c r="BC110" s="21"/>
      <c r="BD110" s="21"/>
      <c r="BE110" s="21"/>
      <c r="BF110" s="21">
        <f t="shared" si="111"/>
        <v>0</v>
      </c>
      <c r="BG110" s="21">
        <f>IF(AND(BN$10&gt;0,BF110&gt;0),1,0)</f>
        <v>0</v>
      </c>
      <c r="BH110" s="39">
        <f>BG110*BI110</f>
        <v>0</v>
      </c>
      <c r="BI110" s="21">
        <v>720</v>
      </c>
      <c r="BK110" s="21">
        <f>BG110*8</f>
        <v>0</v>
      </c>
      <c r="BL110" s="21">
        <f>BG110*1</f>
        <v>0</v>
      </c>
      <c r="BM110" s="21"/>
      <c r="BN110" s="24">
        <f>BH110/90</f>
        <v>0</v>
      </c>
      <c r="BO110">
        <f>BG110</f>
        <v>0</v>
      </c>
      <c r="BP110" s="49">
        <f>BH110</f>
        <v>0</v>
      </c>
      <c r="BQ110" s="279" t="s">
        <v>435</v>
      </c>
    </row>
    <row r="111" spans="1:69" ht="12.75">
      <c r="A111">
        <v>80</v>
      </c>
      <c r="C111" s="134" t="s">
        <v>434</v>
      </c>
      <c r="D111" s="47">
        <f>IF(Etude!$M$136=TRUE,1,0)</f>
        <v>0</v>
      </c>
      <c r="E111" s="21">
        <f>IF(Etude!$G$10=1,0,D111)</f>
        <v>0</v>
      </c>
      <c r="F111" s="135"/>
      <c r="H111" s="34"/>
      <c r="I111" s="33"/>
      <c r="J111" s="226">
        <f>IF(H$4+$E$9&gt;1,1,0)</f>
        <v>0</v>
      </c>
      <c r="K111" s="135"/>
      <c r="M111" s="21"/>
      <c r="N111" s="21">
        <f>SUM(E111:L111)</f>
        <v>0</v>
      </c>
      <c r="O111" s="21">
        <f>IF($N111&gt;0,1,0)</f>
        <v>0</v>
      </c>
      <c r="P111" s="36"/>
      <c r="Q111" s="21"/>
      <c r="R111" s="21"/>
      <c r="S111" s="21"/>
      <c r="T111" s="21"/>
      <c r="U111" s="21"/>
      <c r="V111" s="47">
        <f>IF(Etude!$M$136=TRUE,1,0)</f>
        <v>0</v>
      </c>
      <c r="W111" s="21">
        <f>IF(Etude!M$10=1,0,V111)</f>
        <v>0</v>
      </c>
      <c r="Z111" s="34"/>
      <c r="AA111" s="33"/>
      <c r="AB111" s="226">
        <f>IF(Z$4+$E$9&gt;1,1,0)</f>
        <v>0</v>
      </c>
      <c r="AC111" s="135"/>
      <c r="AE111" s="21"/>
      <c r="AF111" s="21">
        <f>SUM(W111:AD111)</f>
        <v>0</v>
      </c>
      <c r="AG111" s="21">
        <f>IF(AND(AH$10&gt;0,$N111&gt;0),1,0)</f>
        <v>0</v>
      </c>
      <c r="AH111" s="36"/>
      <c r="AI111" s="21"/>
      <c r="AJ111" s="21"/>
      <c r="AK111" s="21"/>
      <c r="AL111" s="21"/>
      <c r="AM111" s="21"/>
      <c r="AN111" s="47">
        <f>IF(Etude!$M$136=TRUE,1,0)</f>
        <v>0</v>
      </c>
      <c r="AO111" s="21">
        <f>IF(Etude!S$10=1,0,AN111)</f>
        <v>0</v>
      </c>
      <c r="AR111" s="34"/>
      <c r="AS111" s="33"/>
      <c r="AT111" s="226">
        <f>IF(AR$4+$E$9&gt;1,1,0)</f>
        <v>0</v>
      </c>
      <c r="AU111" s="135"/>
      <c r="AW111" s="21"/>
      <c r="AX111" s="21">
        <f>SUM(AO111:AV111)</f>
        <v>0</v>
      </c>
      <c r="AY111" s="21">
        <f>IF(AND(AZ$10&gt;0,$N111&gt;0),1,0)</f>
        <v>0</v>
      </c>
      <c r="AZ111" s="36"/>
      <c r="BA111" s="21"/>
      <c r="BB111" s="21"/>
      <c r="BC111" s="21"/>
      <c r="BD111" s="21"/>
      <c r="BE111" s="21"/>
      <c r="BF111" s="21">
        <f t="shared" si="111"/>
        <v>0</v>
      </c>
      <c r="BG111" s="21">
        <f>IF(AND(BN$10&gt;0,BF111&gt;0),1,0)</f>
        <v>0</v>
      </c>
      <c r="BH111" s="39">
        <f>BG111*BI111</f>
        <v>0</v>
      </c>
      <c r="BI111" s="21">
        <v>720</v>
      </c>
      <c r="BK111" s="21">
        <f>BG111*8</f>
        <v>0</v>
      </c>
      <c r="BL111" s="21">
        <f>BG111*1</f>
        <v>0</v>
      </c>
      <c r="BM111" s="21"/>
      <c r="BN111" s="24">
        <f>BH111/90</f>
        <v>0</v>
      </c>
      <c r="BO111">
        <f>BG111</f>
        <v>0</v>
      </c>
      <c r="BP111" s="49">
        <f>BH111</f>
        <v>0</v>
      </c>
      <c r="BQ111" s="279" t="s">
        <v>434</v>
      </c>
    </row>
    <row r="112" spans="49:68" ht="12.75">
      <c r="AW112" s="21"/>
      <c r="AX112" s="21"/>
      <c r="AY112" s="21"/>
      <c r="AZ112" s="36"/>
      <c r="BA112" s="21"/>
      <c r="BB112" s="21"/>
      <c r="BC112" s="21"/>
      <c r="BD112" s="21"/>
      <c r="BE112" s="21"/>
      <c r="BF112" s="21"/>
      <c r="BG112" s="21"/>
      <c r="BH112" s="39"/>
      <c r="BI112" s="21"/>
      <c r="BK112" s="21"/>
      <c r="BL112" s="21"/>
      <c r="BM112" s="21"/>
      <c r="BN112" s="38"/>
      <c r="BP112" s="49"/>
    </row>
    <row r="113" spans="5:68" ht="13.5" thickBot="1">
      <c r="E113" s="21"/>
      <c r="F113" s="21"/>
      <c r="G113" s="21"/>
      <c r="H113" s="21"/>
      <c r="I113" s="21"/>
      <c r="J113" s="21"/>
      <c r="K113" s="21"/>
      <c r="L113" s="21"/>
      <c r="M113" s="21"/>
      <c r="N113" s="21"/>
      <c r="O113" s="21"/>
      <c r="P113" s="137" t="s">
        <v>76</v>
      </c>
      <c r="Q113" s="65"/>
      <c r="R113" s="243" t="s">
        <v>67</v>
      </c>
      <c r="S113" s="243" t="s">
        <v>4</v>
      </c>
      <c r="T113" s="243" t="s">
        <v>5</v>
      </c>
      <c r="U113" s="21"/>
      <c r="V113" s="21"/>
      <c r="W113" s="21"/>
      <c r="X113" s="21"/>
      <c r="Y113" s="21"/>
      <c r="Z113" s="21"/>
      <c r="AA113" s="21"/>
      <c r="AB113" s="21"/>
      <c r="AC113" s="21"/>
      <c r="AD113" s="21"/>
      <c r="AE113" s="21"/>
      <c r="AF113" s="21"/>
      <c r="AG113" s="21"/>
      <c r="AH113" s="137" t="s">
        <v>76</v>
      </c>
      <c r="AI113" s="65"/>
      <c r="AJ113" s="243" t="s">
        <v>67</v>
      </c>
      <c r="AK113" s="243" t="s">
        <v>4</v>
      </c>
      <c r="AL113" s="243" t="s">
        <v>5</v>
      </c>
      <c r="AM113" s="21"/>
      <c r="AN113" s="21"/>
      <c r="AO113" s="21"/>
      <c r="AP113" s="21"/>
      <c r="AQ113" s="21"/>
      <c r="AR113" s="21"/>
      <c r="AS113" s="21"/>
      <c r="AT113" s="21"/>
      <c r="AU113" s="21"/>
      <c r="AV113" s="21"/>
      <c r="AW113" s="21"/>
      <c r="AX113" s="21"/>
      <c r="AY113" s="21"/>
      <c r="AZ113" s="137" t="s">
        <v>76</v>
      </c>
      <c r="BA113" s="65"/>
      <c r="BB113" s="243" t="s">
        <v>67</v>
      </c>
      <c r="BC113" s="243" t="s">
        <v>4</v>
      </c>
      <c r="BD113" s="243" t="s">
        <v>5</v>
      </c>
      <c r="BE113" s="21"/>
      <c r="BF113" s="21"/>
      <c r="BG113" s="21"/>
      <c r="BH113" s="137" t="s">
        <v>76</v>
      </c>
      <c r="BI113" s="65"/>
      <c r="BK113" s="243" t="s">
        <v>4</v>
      </c>
      <c r="BL113" s="243" t="s">
        <v>5</v>
      </c>
      <c r="BM113" s="21"/>
      <c r="BN113" s="243" t="s">
        <v>67</v>
      </c>
      <c r="BP113" s="137" t="s">
        <v>106</v>
      </c>
    </row>
    <row r="114" spans="4:68" ht="13.5" thickBot="1">
      <c r="D114" s="21"/>
      <c r="E114" s="21"/>
      <c r="F114" s="21"/>
      <c r="G114" s="21"/>
      <c r="H114" s="21"/>
      <c r="I114" s="21"/>
      <c r="J114" s="21"/>
      <c r="K114" s="21"/>
      <c r="L114" s="42" t="s">
        <v>72</v>
      </c>
      <c r="M114" s="43"/>
      <c r="N114" s="43"/>
      <c r="O114" s="43"/>
      <c r="P114" s="280">
        <f>(SUM(P14:P111))*P115</f>
        <v>0</v>
      </c>
      <c r="Q114" s="23"/>
      <c r="R114" s="40">
        <f>(SUM(R25:R97))*R115</f>
        <v>0</v>
      </c>
      <c r="S114" s="40">
        <f>(SUM(S25:S97))*S115</f>
        <v>0</v>
      </c>
      <c r="T114" s="40">
        <f>(SUM(T25:T97))*T115</f>
        <v>0</v>
      </c>
      <c r="U114" s="21"/>
      <c r="V114" s="21"/>
      <c r="W114" s="21"/>
      <c r="X114" s="21"/>
      <c r="Y114" s="21"/>
      <c r="Z114" s="21"/>
      <c r="AA114" s="21"/>
      <c r="AB114" s="21"/>
      <c r="AC114" s="21"/>
      <c r="AD114" s="42" t="s">
        <v>73</v>
      </c>
      <c r="AE114" s="42"/>
      <c r="AF114" s="42"/>
      <c r="AG114" s="42"/>
      <c r="AH114" s="282">
        <f>(SUM(AH14:AH111))*AH115</f>
        <v>0</v>
      </c>
      <c r="AI114" s="41"/>
      <c r="AJ114" s="40">
        <f>(SUM(AJ25:AJ97))*AJ115</f>
        <v>0</v>
      </c>
      <c r="AK114" s="40">
        <f>(SUM(AK25:AK97))*AK115</f>
        <v>0</v>
      </c>
      <c r="AL114" s="40">
        <f>(SUM(AL25:AL97))*AL115</f>
        <v>0</v>
      </c>
      <c r="AM114" s="21"/>
      <c r="AN114" s="21"/>
      <c r="AO114" s="21"/>
      <c r="AP114" s="21"/>
      <c r="AQ114" s="21"/>
      <c r="AR114" s="21"/>
      <c r="AS114" s="21"/>
      <c r="AT114" s="21"/>
      <c r="AU114" s="21"/>
      <c r="AV114" s="42" t="s">
        <v>74</v>
      </c>
      <c r="AW114" s="42"/>
      <c r="AX114" s="42"/>
      <c r="AY114" s="42"/>
      <c r="AZ114" s="282">
        <f>(SUM(AZ14:AZ111))*AZ115</f>
        <v>0</v>
      </c>
      <c r="BA114" s="41"/>
      <c r="BB114" s="40">
        <f>(SUM(BB25:BB97))*BB115</f>
        <v>0</v>
      </c>
      <c r="BC114" s="40">
        <f>(SUM(BC25:BC97))*BC115</f>
        <v>0</v>
      </c>
      <c r="BD114" s="40">
        <f>(SUM(BD25:BD97))*BD115</f>
        <v>0</v>
      </c>
      <c r="BE114" s="21"/>
      <c r="BH114" s="281">
        <f>(SUM(BH83:BH111))*BH115</f>
        <v>0</v>
      </c>
      <c r="BI114" s="37"/>
      <c r="BK114" s="37">
        <f>(SUM(BK83:BK96))*BK115</f>
        <v>0</v>
      </c>
      <c r="BL114" s="37">
        <f>(SUM(BL83:BL96))*BL115</f>
        <v>0</v>
      </c>
      <c r="BM114" s="21"/>
      <c r="BN114" s="37">
        <f>(SUM(BN83:BN105))*BN115</f>
        <v>0</v>
      </c>
      <c r="BP114" s="361">
        <f>SUM(BP14:BP111)</f>
        <v>0</v>
      </c>
    </row>
    <row r="115" spans="3:66" ht="12.75">
      <c r="C115" s="242" t="s">
        <v>430</v>
      </c>
      <c r="D115" s="21"/>
      <c r="E115" s="21"/>
      <c r="F115" s="21"/>
      <c r="G115" s="21"/>
      <c r="H115" s="21"/>
      <c r="I115" s="21"/>
      <c r="J115" s="21"/>
      <c r="K115" s="21"/>
      <c r="L115" s="21"/>
      <c r="M115" s="21"/>
      <c r="N115" s="21"/>
      <c r="O115" s="21"/>
      <c r="P115" s="21">
        <f>IF($P$10=0,0,P116)</f>
        <v>0</v>
      </c>
      <c r="Q115" s="21"/>
      <c r="R115" s="21">
        <f>IF($P$10=0,0,R116)</f>
        <v>0</v>
      </c>
      <c r="S115" s="21">
        <f>IF($P$10=0,0,S116)</f>
        <v>0</v>
      </c>
      <c r="T115" s="21">
        <f>IF($P$10=0,0,T116)</f>
        <v>0</v>
      </c>
      <c r="U115" s="21"/>
      <c r="V115" s="21"/>
      <c r="W115" s="21"/>
      <c r="X115" s="21"/>
      <c r="Y115" s="21"/>
      <c r="Z115" s="21"/>
      <c r="AA115" s="21"/>
      <c r="AB115" s="21"/>
      <c r="AC115" s="21"/>
      <c r="AD115" s="21"/>
      <c r="AE115" s="21"/>
      <c r="AF115" s="21"/>
      <c r="AG115" s="21"/>
      <c r="AH115" s="21">
        <f>IF($AH$10=0,0,AH116)</f>
        <v>0</v>
      </c>
      <c r="AI115" s="21"/>
      <c r="AJ115" s="21">
        <f>IF($AH$10=0,0,AJ116)</f>
        <v>0</v>
      </c>
      <c r="AK115" s="21">
        <f>IF($AH$10=0,0,AK116)</f>
        <v>0</v>
      </c>
      <c r="AL115" s="21">
        <f>IF($AH$10=0,0,AL116)</f>
        <v>0</v>
      </c>
      <c r="AM115" s="21"/>
      <c r="AN115" s="21"/>
      <c r="AO115" s="21"/>
      <c r="AP115" s="21"/>
      <c r="AQ115" s="21"/>
      <c r="AR115" s="21"/>
      <c r="AS115" s="21"/>
      <c r="AT115" s="21"/>
      <c r="AU115" s="21"/>
      <c r="AV115" s="21"/>
      <c r="AW115" s="21"/>
      <c r="AX115" s="21"/>
      <c r="AY115" s="21"/>
      <c r="AZ115" s="21">
        <f>IF($AZ$10=0,0,AZ116)</f>
        <v>0</v>
      </c>
      <c r="BA115" s="21"/>
      <c r="BB115" s="21">
        <f>IF($AZ$10=0,0,BB116)</f>
        <v>0</v>
      </c>
      <c r="BC115" s="21">
        <f>IF($AZ$10=0,0,BC116)</f>
        <v>0</v>
      </c>
      <c r="BD115" s="21">
        <f>IF($AZ$10=0,0,BD116)</f>
        <v>0</v>
      </c>
      <c r="BE115" s="21"/>
      <c r="BH115" s="21">
        <f>IF(($P$115+$AH$115+$AZ$115)=0,0,1)</f>
        <v>0</v>
      </c>
      <c r="BI115" s="21"/>
      <c r="BK115" s="21">
        <f>IF(($P$10+$AH$10+$AZ$10)=0,0,1)</f>
        <v>0</v>
      </c>
      <c r="BL115" s="21">
        <f>IF(($P$10+$AH$10+$AZ$10)=0,0,1)</f>
        <v>0</v>
      </c>
      <c r="BM115" s="21"/>
      <c r="BN115" s="21">
        <f>IF(($P$10+$AH$10+$AZ$10)=0,0,1)</f>
        <v>0</v>
      </c>
    </row>
    <row r="116" spans="3:66" ht="12.75">
      <c r="C116" s="242" t="s">
        <v>430</v>
      </c>
      <c r="D116" s="21"/>
      <c r="E116" s="21"/>
      <c r="F116" s="21"/>
      <c r="G116" s="21"/>
      <c r="H116" s="21"/>
      <c r="I116" s="21"/>
      <c r="J116" s="21"/>
      <c r="K116" s="21"/>
      <c r="L116" s="21"/>
      <c r="M116" s="21"/>
      <c r="N116" s="21"/>
      <c r="O116" s="21"/>
      <c r="P116" s="21">
        <f>IF($P$7=0,0,1)</f>
        <v>0</v>
      </c>
      <c r="Q116" s="21"/>
      <c r="R116" s="21">
        <f>IF($P$7=0,0,1)</f>
        <v>0</v>
      </c>
      <c r="S116" s="21">
        <f>IF($P$7=0,0,1)</f>
        <v>0</v>
      </c>
      <c r="T116" s="21">
        <f>IF($P$7=0,0,1)</f>
        <v>0</v>
      </c>
      <c r="U116" s="21"/>
      <c r="V116" s="21"/>
      <c r="W116" s="21"/>
      <c r="X116" s="21"/>
      <c r="Y116" s="21"/>
      <c r="Z116" s="21"/>
      <c r="AA116" s="21"/>
      <c r="AB116" s="21"/>
      <c r="AC116" s="21"/>
      <c r="AD116" s="21"/>
      <c r="AE116" s="21"/>
      <c r="AF116" s="21"/>
      <c r="AG116" s="21"/>
      <c r="AH116" s="21">
        <f>IF($AH$7=0,0,1)</f>
        <v>0</v>
      </c>
      <c r="AI116" s="21"/>
      <c r="AJ116" s="21">
        <f>IF($AH$7=0,0,1)</f>
        <v>0</v>
      </c>
      <c r="AK116" s="21">
        <f>IF($AH$7=0,0,1)</f>
        <v>0</v>
      </c>
      <c r="AL116" s="21">
        <f>IF($AH$7=0,0,1)</f>
        <v>0</v>
      </c>
      <c r="AM116" s="21"/>
      <c r="AN116" s="21"/>
      <c r="AO116" s="21"/>
      <c r="AP116" s="21"/>
      <c r="AQ116" s="21"/>
      <c r="AR116" s="21"/>
      <c r="AS116" s="21"/>
      <c r="AT116" s="21"/>
      <c r="AU116" s="21"/>
      <c r="AV116" s="21"/>
      <c r="AW116" s="21"/>
      <c r="AX116" s="21"/>
      <c r="AY116" s="21"/>
      <c r="AZ116" s="21">
        <f>IF($AZ$7=0,0,1)</f>
        <v>0</v>
      </c>
      <c r="BA116" s="21"/>
      <c r="BB116" s="21">
        <f>IF($AZ$7=0,0,1)</f>
        <v>0</v>
      </c>
      <c r="BC116" s="21">
        <f>IF($AZ$7=0,0,1)</f>
        <v>0</v>
      </c>
      <c r="BD116" s="21">
        <f>IF($AZ$7=0,0,1)</f>
        <v>0</v>
      </c>
      <c r="BE116" s="21"/>
      <c r="BM116" s="21"/>
      <c r="BN116" s="21"/>
    </row>
    <row r="117" spans="4:66" ht="12.75">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M117" s="21"/>
      <c r="BN117" s="21">
        <f>IF(SUM(BF108:BF111)&gt;0,"+ déplacements","")</f>
      </c>
    </row>
    <row r="118" spans="3:66" ht="12.75">
      <c r="C118" s="30" t="s">
        <v>106</v>
      </c>
      <c r="D118" s="450">
        <f>P114+AH114+AZ114+BH114</f>
        <v>0</v>
      </c>
      <c r="E118" s="451"/>
      <c r="F118" s="45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M118" s="21"/>
      <c r="BN118" s="21"/>
    </row>
    <row r="119" spans="3:66" ht="12.75">
      <c r="C119" s="30" t="s">
        <v>107</v>
      </c>
      <c r="D119" s="452">
        <f>(D118-(D118*((21-$BJ$7)/20)))+BH121+BH122+BH123</f>
        <v>0</v>
      </c>
      <c r="E119" s="453"/>
      <c r="F119" s="453"/>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row>
    <row r="120" spans="3:66" ht="12.75">
      <c r="C120" s="30" t="s">
        <v>108</v>
      </c>
      <c r="D120" s="454">
        <f>D118-D119</f>
        <v>0</v>
      </c>
      <c r="E120" s="454"/>
      <c r="F120" s="454"/>
      <c r="G120" t="s">
        <v>112</v>
      </c>
      <c r="H120" s="21"/>
      <c r="I120" s="21"/>
      <c r="J120" s="21"/>
      <c r="K120" s="21"/>
      <c r="L120" s="21"/>
      <c r="M120" s="21"/>
      <c r="N120" s="21"/>
      <c r="O120" s="21"/>
      <c r="P120" s="21"/>
      <c r="Q120" s="21"/>
      <c r="R120" s="21"/>
      <c r="S120" s="21"/>
      <c r="T120" s="21"/>
      <c r="U120" s="21" t="s">
        <v>419</v>
      </c>
      <c r="V120" s="21"/>
      <c r="W120" s="21" t="s">
        <v>424</v>
      </c>
      <c r="X120" s="21"/>
      <c r="Y120" s="21"/>
      <c r="Z120" s="21"/>
      <c r="AA120" s="21"/>
      <c r="AB120" s="21"/>
      <c r="AC120" s="21"/>
      <c r="AD120" s="21"/>
      <c r="AE120" s="21"/>
      <c r="AF120" s="21"/>
      <c r="AG120" s="21"/>
      <c r="AH120" s="21"/>
      <c r="AI120" s="21"/>
      <c r="AJ120" s="21"/>
      <c r="AK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t="s">
        <v>436</v>
      </c>
      <c r="BI120" s="21"/>
      <c r="BJ120" s="21"/>
      <c r="BK120" s="21"/>
      <c r="BL120" s="21"/>
      <c r="BM120" s="21"/>
      <c r="BN120" s="21"/>
    </row>
    <row r="121" spans="3:66" ht="12.75">
      <c r="C121" s="30" t="s">
        <v>109</v>
      </c>
      <c r="D121" s="450">
        <f>R114+AJ114+BB114+BN114</f>
        <v>0</v>
      </c>
      <c r="E121" s="451"/>
      <c r="F121" s="451"/>
      <c r="G121" s="21"/>
      <c r="H121" s="21"/>
      <c r="I121" s="21"/>
      <c r="J121" s="21"/>
      <c r="K121" s="21"/>
      <c r="L121" s="21"/>
      <c r="M121" s="21"/>
      <c r="N121" s="21"/>
      <c r="O121" s="21"/>
      <c r="P121" s="21"/>
      <c r="Q121" s="21"/>
      <c r="R121" s="21"/>
      <c r="S121" s="21"/>
      <c r="T121" s="21"/>
      <c r="U121" s="21" t="s">
        <v>429</v>
      </c>
      <c r="V121" s="21"/>
      <c r="W121" s="21" t="s">
        <v>428</v>
      </c>
      <c r="X121" s="21"/>
      <c r="Y121" s="21"/>
      <c r="Z121" s="21"/>
      <c r="AA121" s="21"/>
      <c r="AB121" s="21"/>
      <c r="AC121" s="21"/>
      <c r="AD121" s="21"/>
      <c r="AE121" s="21"/>
      <c r="AF121" s="21"/>
      <c r="AG121" s="21"/>
      <c r="AH121" s="21"/>
      <c r="AI121" s="21"/>
      <c r="AJ121" s="21"/>
      <c r="AK121" s="21"/>
      <c r="AM121" s="21"/>
      <c r="AN121" s="21"/>
      <c r="AO121" s="21"/>
      <c r="AP121" s="21"/>
      <c r="AQ121" s="21"/>
      <c r="AR121" s="21"/>
      <c r="AS121" s="21"/>
      <c r="AT121" s="21"/>
      <c r="AU121" s="21"/>
      <c r="AV121" s="21"/>
      <c r="AW121" s="21"/>
      <c r="AX121" s="21"/>
      <c r="AY121" s="21"/>
      <c r="AZ121" s="21"/>
      <c r="BA121" s="21"/>
      <c r="BB121" s="21"/>
      <c r="BC121" s="21"/>
      <c r="BD121" s="21"/>
      <c r="BE121" s="21" t="s">
        <v>437</v>
      </c>
      <c r="BF121" s="21"/>
      <c r="BG121" s="21"/>
      <c r="BH121" s="244">
        <f>BP79-(BP79*((7.67-BJ7)/6.67))</f>
        <v>0</v>
      </c>
      <c r="BJ121" s="21"/>
      <c r="BK121" s="21"/>
      <c r="BL121" s="21"/>
      <c r="BM121" s="21"/>
      <c r="BN121" s="21"/>
    </row>
    <row r="122" spans="3:66" ht="12.75">
      <c r="C122" s="30" t="s">
        <v>110</v>
      </c>
      <c r="D122" s="450">
        <f>S114+AK114+BC114+BK114-(BJ7-1)</f>
        <v>1</v>
      </c>
      <c r="E122" s="450"/>
      <c r="F122" s="450"/>
      <c r="G122" s="21"/>
      <c r="H122" s="21"/>
      <c r="I122" s="21"/>
      <c r="J122" s="21"/>
      <c r="K122" s="21"/>
      <c r="L122" s="21"/>
      <c r="M122" s="21"/>
      <c r="N122" s="21"/>
      <c r="O122" s="21"/>
      <c r="P122" s="21"/>
      <c r="Q122" s="21"/>
      <c r="R122" s="21"/>
      <c r="S122" s="21"/>
      <c r="T122" s="21"/>
      <c r="U122" s="21" t="s">
        <v>420</v>
      </c>
      <c r="V122" s="21"/>
      <c r="W122" s="21" t="s">
        <v>421</v>
      </c>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t="s">
        <v>438</v>
      </c>
      <c r="BF122" s="21"/>
      <c r="BG122" s="21"/>
      <c r="BH122" s="244">
        <f>BP100-(BP100*((7.67-BJ7)/6.67))</f>
        <v>0</v>
      </c>
      <c r="BI122" s="21"/>
      <c r="BJ122" s="21"/>
      <c r="BK122" s="21"/>
      <c r="BL122" s="21"/>
      <c r="BM122" s="21"/>
      <c r="BN122" s="21"/>
    </row>
    <row r="123" spans="3:66" ht="12.75">
      <c r="C123" s="30" t="s">
        <v>111</v>
      </c>
      <c r="D123" s="450">
        <f>T114+AL114+BD114-(BJ7-1)</f>
        <v>1</v>
      </c>
      <c r="E123" s="450"/>
      <c r="F123" s="450"/>
      <c r="G123" s="21"/>
      <c r="H123" s="21"/>
      <c r="I123" s="21"/>
      <c r="J123" s="21"/>
      <c r="K123" s="21"/>
      <c r="L123" s="21"/>
      <c r="M123" s="21"/>
      <c r="N123" s="21"/>
      <c r="O123" s="21"/>
      <c r="P123" s="21"/>
      <c r="Q123" s="21"/>
      <c r="R123" s="21"/>
      <c r="S123" s="21"/>
      <c r="T123" s="21"/>
      <c r="U123" s="21" t="s">
        <v>422</v>
      </c>
      <c r="V123" s="21"/>
      <c r="W123" s="21" t="s">
        <v>423</v>
      </c>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t="s">
        <v>439</v>
      </c>
      <c r="BF123" s="21"/>
      <c r="BG123" s="21"/>
      <c r="BH123" s="244">
        <v>0</v>
      </c>
      <c r="BI123" s="21"/>
      <c r="BJ123" s="21"/>
      <c r="BK123" s="21"/>
      <c r="BL123" s="21"/>
      <c r="BM123" s="21"/>
      <c r="BN123" s="21"/>
    </row>
  </sheetData>
  <sheetProtection/>
  <mergeCells count="12">
    <mergeCell ref="AQ9:AR9"/>
    <mergeCell ref="AQ10:AR10"/>
    <mergeCell ref="G9:H9"/>
    <mergeCell ref="G10:H10"/>
    <mergeCell ref="Y9:Z9"/>
    <mergeCell ref="Y10:Z10"/>
    <mergeCell ref="D118:F118"/>
    <mergeCell ref="D122:F122"/>
    <mergeCell ref="D121:F121"/>
    <mergeCell ref="D123:F123"/>
    <mergeCell ref="D119:F119"/>
    <mergeCell ref="D120:F120"/>
  </mergeCells>
  <printOptions/>
  <pageMargins left="0.5905511811023623" right="0.1968503937007874" top="0.5905511811023623" bottom="0.1968503937007874" header="0.5118110236220472" footer="0.5118110236220472"/>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Feuil8"/>
  <dimension ref="B1:K169"/>
  <sheetViews>
    <sheetView zoomScalePageLayoutView="0" workbookViewId="0" topLeftCell="A1">
      <selection activeCell="F15" sqref="F15"/>
    </sheetView>
  </sheetViews>
  <sheetFormatPr defaultColWidth="11.421875" defaultRowHeight="12.75"/>
  <cols>
    <col min="1" max="1" width="2.7109375" style="0" customWidth="1"/>
    <col min="2" max="2" width="20.7109375" style="0" customWidth="1"/>
    <col min="3" max="3" width="7.7109375" style="0" customWidth="1"/>
    <col min="4" max="4" width="4.7109375" style="0" customWidth="1"/>
    <col min="5" max="5" width="11.7109375" style="0" customWidth="1"/>
    <col min="6" max="6" width="9.7109375" style="0" customWidth="1"/>
    <col min="7" max="7" width="12.7109375" style="0" customWidth="1"/>
    <col min="8" max="8" width="9.7109375" style="0" customWidth="1"/>
    <col min="9" max="9" width="12.7109375" style="0" customWidth="1"/>
    <col min="10" max="10" width="7.7109375" style="0" customWidth="1"/>
    <col min="11" max="11" width="50.7109375" style="0" customWidth="1"/>
  </cols>
  <sheetData>
    <row r="1" ht="15.75">
      <c r="B1" s="57" t="s">
        <v>447</v>
      </c>
    </row>
    <row r="2" spans="6:7" ht="12.75">
      <c r="F2" s="270" t="s">
        <v>449</v>
      </c>
      <c r="G2" s="270" t="s">
        <v>450</v>
      </c>
    </row>
    <row r="4" spans="2:8" ht="12.75">
      <c r="B4" t="s">
        <v>451</v>
      </c>
      <c r="E4" t="s">
        <v>179</v>
      </c>
      <c r="F4" s="251">
        <v>205</v>
      </c>
      <c r="G4" s="251">
        <v>250</v>
      </c>
      <c r="H4" t="s">
        <v>452</v>
      </c>
    </row>
    <row r="5" spans="5:8" ht="12.75">
      <c r="E5" t="s">
        <v>181</v>
      </c>
      <c r="F5" s="251">
        <v>60</v>
      </c>
      <c r="G5" s="251">
        <v>80</v>
      </c>
      <c r="H5" t="s">
        <v>453</v>
      </c>
    </row>
    <row r="6" spans="5:8" ht="12.75">
      <c r="E6" t="s">
        <v>182</v>
      </c>
      <c r="F6" s="251">
        <v>150</v>
      </c>
      <c r="G6" s="251">
        <v>180</v>
      </c>
      <c r="H6" t="s">
        <v>452</v>
      </c>
    </row>
    <row r="7" spans="5:8" ht="12.75">
      <c r="E7" t="s">
        <v>184</v>
      </c>
      <c r="F7" s="251">
        <v>250</v>
      </c>
      <c r="G7" s="251">
        <v>250</v>
      </c>
      <c r="H7" t="s">
        <v>452</v>
      </c>
    </row>
    <row r="8" spans="5:8" ht="12.75">
      <c r="E8" t="s">
        <v>186</v>
      </c>
      <c r="F8" s="251">
        <v>205</v>
      </c>
      <c r="G8" s="251">
        <v>250</v>
      </c>
      <c r="H8" t="s">
        <v>452</v>
      </c>
    </row>
    <row r="9" spans="5:10" ht="12.75">
      <c r="E9" t="s">
        <v>465</v>
      </c>
      <c r="F9" s="251">
        <v>32.5</v>
      </c>
      <c r="G9" s="251">
        <v>32.5</v>
      </c>
      <c r="H9" t="s">
        <v>452</v>
      </c>
      <c r="J9" s="48"/>
    </row>
    <row r="10" spans="5:10" ht="12.75">
      <c r="E10" t="s">
        <v>535</v>
      </c>
      <c r="F10" s="251">
        <v>18.5</v>
      </c>
      <c r="G10" s="251">
        <v>18.5</v>
      </c>
      <c r="H10" t="s">
        <v>452</v>
      </c>
      <c r="J10" s="48"/>
    </row>
    <row r="11" spans="5:8" ht="12.75">
      <c r="E11" t="s">
        <v>123</v>
      </c>
      <c r="F11" s="251">
        <v>1700</v>
      </c>
      <c r="G11" s="251">
        <v>1900</v>
      </c>
      <c r="H11" t="s">
        <v>454</v>
      </c>
    </row>
    <row r="12" spans="5:8" ht="12.75">
      <c r="E12" t="s">
        <v>189</v>
      </c>
      <c r="F12" s="251">
        <v>900</v>
      </c>
      <c r="G12" s="251">
        <v>900</v>
      </c>
      <c r="H12" t="s">
        <v>454</v>
      </c>
    </row>
    <row r="13" spans="5:8" ht="12.75">
      <c r="E13" t="s">
        <v>192</v>
      </c>
      <c r="F13" s="251">
        <v>170</v>
      </c>
      <c r="G13" s="251">
        <v>180</v>
      </c>
      <c r="H13" t="s">
        <v>453</v>
      </c>
    </row>
    <row r="14" spans="5:8" ht="12.75">
      <c r="E14" t="s">
        <v>195</v>
      </c>
      <c r="F14" s="251">
        <v>200</v>
      </c>
      <c r="G14" s="251">
        <v>240</v>
      </c>
      <c r="H14" t="s">
        <v>453</v>
      </c>
    </row>
    <row r="15" spans="5:8" ht="12.75">
      <c r="E15" t="s">
        <v>197</v>
      </c>
      <c r="F15" s="251">
        <v>140</v>
      </c>
      <c r="G15" s="251">
        <v>140</v>
      </c>
      <c r="H15" t="s">
        <v>452</v>
      </c>
    </row>
    <row r="16" spans="5:8" ht="12.75">
      <c r="E16" t="s">
        <v>458</v>
      </c>
      <c r="F16" s="251">
        <v>10</v>
      </c>
      <c r="G16" s="251">
        <v>10</v>
      </c>
      <c r="H16" t="s">
        <v>453</v>
      </c>
    </row>
    <row r="18" spans="5:8" ht="12.75">
      <c r="E18" s="30" t="s">
        <v>153</v>
      </c>
      <c r="F18" s="251">
        <v>60</v>
      </c>
      <c r="G18" s="251">
        <v>60</v>
      </c>
      <c r="H18" t="s">
        <v>452</v>
      </c>
    </row>
    <row r="19" spans="5:8" ht="12.75">
      <c r="E19" s="76" t="s">
        <v>52</v>
      </c>
      <c r="F19" s="251">
        <v>85</v>
      </c>
      <c r="G19" s="251">
        <v>89</v>
      </c>
      <c r="H19" t="s">
        <v>452</v>
      </c>
    </row>
    <row r="20" spans="5:8" ht="12.75">
      <c r="E20" s="30" t="s">
        <v>155</v>
      </c>
      <c r="F20" s="251">
        <v>89</v>
      </c>
      <c r="G20" s="251">
        <v>85</v>
      </c>
      <c r="H20" t="s">
        <v>452</v>
      </c>
    </row>
    <row r="21" spans="5:8" ht="12.75">
      <c r="E21" s="30" t="s">
        <v>208</v>
      </c>
      <c r="F21" s="251">
        <v>60</v>
      </c>
      <c r="G21" s="251">
        <v>60</v>
      </c>
      <c r="H21" t="s">
        <v>454</v>
      </c>
    </row>
    <row r="22" spans="5:8" ht="12.75">
      <c r="E22" s="30" t="s">
        <v>457</v>
      </c>
      <c r="F22" s="251">
        <v>50</v>
      </c>
      <c r="G22" s="251">
        <v>50</v>
      </c>
      <c r="H22" t="s">
        <v>453</v>
      </c>
    </row>
    <row r="23" spans="5:8" ht="12.75">
      <c r="E23" s="30" t="s">
        <v>455</v>
      </c>
      <c r="F23" s="251">
        <v>60</v>
      </c>
      <c r="G23" s="251">
        <v>60</v>
      </c>
      <c r="H23" t="s">
        <v>453</v>
      </c>
    </row>
    <row r="24" spans="5:8" ht="12.75">
      <c r="E24" s="30" t="s">
        <v>456</v>
      </c>
      <c r="F24" s="251">
        <v>65</v>
      </c>
      <c r="G24" s="251">
        <v>70</v>
      </c>
      <c r="H24" t="s">
        <v>453</v>
      </c>
    </row>
    <row r="25" spans="5:7" ht="12.75">
      <c r="E25" s="30"/>
      <c r="F25" s="251"/>
      <c r="G25" s="251"/>
    </row>
    <row r="26" spans="2:7" ht="12.75">
      <c r="B26" s="283" t="s">
        <v>467</v>
      </c>
      <c r="E26" s="284" t="s">
        <v>466</v>
      </c>
      <c r="F26" s="251"/>
      <c r="G26" s="251"/>
    </row>
    <row r="27" spans="5:7" ht="12.75">
      <c r="E27" s="284" t="s">
        <v>466</v>
      </c>
      <c r="F27" s="251"/>
      <c r="G27" s="251"/>
    </row>
    <row r="28" spans="5:7" ht="12.75">
      <c r="E28" s="284" t="s">
        <v>466</v>
      </c>
      <c r="F28" s="251"/>
      <c r="G28" s="251"/>
    </row>
    <row r="29" spans="5:7" ht="12.75">
      <c r="E29" s="284" t="s">
        <v>466</v>
      </c>
      <c r="F29" s="251"/>
      <c r="G29" s="251"/>
    </row>
    <row r="30" spans="5:7" ht="12.75">
      <c r="E30" s="284" t="s">
        <v>466</v>
      </c>
      <c r="F30" s="251"/>
      <c r="G30" s="251"/>
    </row>
    <row r="31" spans="5:7" ht="12.75">
      <c r="E31" s="284" t="s">
        <v>466</v>
      </c>
      <c r="F31" s="251"/>
      <c r="G31" s="251"/>
    </row>
    <row r="32" spans="5:7" ht="12.75">
      <c r="E32" s="284" t="s">
        <v>466</v>
      </c>
      <c r="F32" s="251"/>
      <c r="G32" s="251"/>
    </row>
    <row r="33" spans="5:11" ht="12.75">
      <c r="E33" s="284" t="s">
        <v>466</v>
      </c>
      <c r="F33" s="251"/>
      <c r="G33" s="251"/>
      <c r="K33" t="s">
        <v>148</v>
      </c>
    </row>
    <row r="34" ht="12.75">
      <c r="E34" s="284" t="s">
        <v>466</v>
      </c>
    </row>
    <row r="35" spans="6:11" ht="15">
      <c r="F35" s="81"/>
      <c r="K35" s="58" t="s">
        <v>149</v>
      </c>
    </row>
    <row r="36" spans="6:11" ht="14.25">
      <c r="F36" s="82"/>
      <c r="H36" t="s">
        <v>71</v>
      </c>
      <c r="K36" s="58" t="s">
        <v>150</v>
      </c>
    </row>
    <row r="37" spans="2:11" ht="15.75">
      <c r="B37" s="57"/>
      <c r="F37" s="22"/>
      <c r="H37" t="s">
        <v>151</v>
      </c>
      <c r="I37" t="b">
        <f>Isolation!H$25</f>
        <v>0</v>
      </c>
      <c r="K37" s="59" t="s">
        <v>565</v>
      </c>
    </row>
    <row r="38" spans="2:9" ht="12.75">
      <c r="B38" s="30" t="s">
        <v>152</v>
      </c>
      <c r="C38" s="254">
        <f>Isolation!G$10</f>
        <v>1</v>
      </c>
      <c r="E38" s="246">
        <v>7</v>
      </c>
      <c r="F38" s="247" t="s">
        <v>476</v>
      </c>
      <c r="H38" t="s">
        <v>153</v>
      </c>
      <c r="I38" t="b">
        <f>Isolation!H$55</f>
        <v>0</v>
      </c>
    </row>
    <row r="39" spans="2:11" ht="14.25">
      <c r="B39" t="s">
        <v>154</v>
      </c>
      <c r="C39" s="254">
        <f>Isolation!G$12</f>
        <v>1</v>
      </c>
      <c r="E39" s="246">
        <v>3.7</v>
      </c>
      <c r="F39" s="248" t="s">
        <v>477</v>
      </c>
      <c r="H39" t="s">
        <v>155</v>
      </c>
      <c r="I39" t="b">
        <f>Isolation!H$59</f>
        <v>0</v>
      </c>
      <c r="K39" t="s">
        <v>156</v>
      </c>
    </row>
    <row r="40" spans="2:11" ht="12.75">
      <c r="B40" s="60" t="s">
        <v>0</v>
      </c>
      <c r="C40" s="254"/>
      <c r="E40" s="246">
        <v>3</v>
      </c>
      <c r="F40" s="247" t="s">
        <v>478</v>
      </c>
      <c r="H40" t="s">
        <v>157</v>
      </c>
      <c r="I40" t="b">
        <f>Isolation!H$61</f>
        <v>0</v>
      </c>
      <c r="K40" t="s">
        <v>158</v>
      </c>
    </row>
    <row r="41" spans="2:11" ht="12.75">
      <c r="B41" s="61" t="s">
        <v>118</v>
      </c>
      <c r="C41" s="255">
        <f>IF((Dimensions!G$10)&gt;1,Dimensions!G$15,0)</f>
        <v>0</v>
      </c>
      <c r="D41" s="30" t="s">
        <v>119</v>
      </c>
      <c r="E41" t="s">
        <v>132</v>
      </c>
      <c r="F41" s="263">
        <f>IF(C38&gt;1,Surfaces!H77,0)</f>
        <v>0</v>
      </c>
      <c r="G41" t="s">
        <v>80</v>
      </c>
      <c r="H41" t="s">
        <v>159</v>
      </c>
      <c r="I41" t="b">
        <f>Isolation!H$63</f>
        <v>0</v>
      </c>
      <c r="K41" t="s">
        <v>160</v>
      </c>
    </row>
    <row r="42" spans="2:9" ht="12.75">
      <c r="B42" s="61" t="s">
        <v>120</v>
      </c>
      <c r="C42" s="255">
        <f>IF((Dimensions!G$10)&gt;1,Dimensions!G$17,0)</f>
        <v>0</v>
      </c>
      <c r="D42" s="30" t="s">
        <v>119</v>
      </c>
      <c r="E42" t="s">
        <v>161</v>
      </c>
      <c r="F42" s="264">
        <f>IF(C38&gt;1,Surfaces!H59,0)</f>
        <v>0</v>
      </c>
      <c r="G42" t="s">
        <v>80</v>
      </c>
      <c r="H42" t="s">
        <v>162</v>
      </c>
      <c r="I42" t="b">
        <f>Isolation!H$65</f>
        <v>0</v>
      </c>
    </row>
    <row r="43" spans="2:11" ht="12.75">
      <c r="B43" s="61" t="s">
        <v>121</v>
      </c>
      <c r="C43" s="255">
        <f>IF((Dimensions!G$10)&gt;1,Dimensions!G$19,0)</f>
        <v>0</v>
      </c>
      <c r="D43" s="30" t="s">
        <v>119</v>
      </c>
      <c r="E43" t="s">
        <v>163</v>
      </c>
      <c r="F43" s="264">
        <f>IF(C38&gt;1,Surfaces!H81,0)</f>
        <v>0</v>
      </c>
      <c r="G43" t="s">
        <v>80</v>
      </c>
      <c r="H43" t="s">
        <v>164</v>
      </c>
      <c r="I43" t="b">
        <f>Isolation!H$67</f>
        <v>0</v>
      </c>
      <c r="K43" s="59" t="s">
        <v>165</v>
      </c>
    </row>
    <row r="44" spans="2:11" ht="12.75">
      <c r="B44" s="63"/>
      <c r="C44" s="256"/>
      <c r="D44" s="30"/>
      <c r="E44" t="s">
        <v>166</v>
      </c>
      <c r="F44" s="264">
        <f>IF(C38&gt;0,Surfaces!H79,0)</f>
        <v>0</v>
      </c>
      <c r="G44" t="s">
        <v>185</v>
      </c>
      <c r="H44" t="s">
        <v>52</v>
      </c>
      <c r="I44" t="b">
        <f>Isolation!H$57</f>
        <v>0</v>
      </c>
      <c r="K44" s="59" t="s">
        <v>167</v>
      </c>
    </row>
    <row r="45" spans="2:11" ht="12.75">
      <c r="B45" s="30" t="s">
        <v>88</v>
      </c>
      <c r="C45" s="257">
        <f>Surfaces!F77</f>
        <v>0</v>
      </c>
      <c r="D45" s="30" t="s">
        <v>80</v>
      </c>
      <c r="K45" s="59" t="s">
        <v>168</v>
      </c>
    </row>
    <row r="46" spans="2:11" ht="12.75">
      <c r="B46" s="30" t="s">
        <v>169</v>
      </c>
      <c r="C46" s="257">
        <f>Surfaces!F66</f>
        <v>0</v>
      </c>
      <c r="D46" s="30" t="s">
        <v>119</v>
      </c>
      <c r="E46" t="s">
        <v>459</v>
      </c>
      <c r="G46" s="49" t="e">
        <f>(G50+G52)/C50</f>
        <v>#DIV/0!</v>
      </c>
      <c r="I46" s="49" t="e">
        <f>(I50+I52)/C50</f>
        <v>#DIV/0!</v>
      </c>
      <c r="K46" s="59" t="s">
        <v>170</v>
      </c>
    </row>
    <row r="47" spans="2:11" ht="14.25">
      <c r="B47" s="30" t="s">
        <v>171</v>
      </c>
      <c r="C47" s="258">
        <f>Isolation!G$13</f>
        <v>0</v>
      </c>
      <c r="D47" s="31"/>
      <c r="E47" s="30" t="s">
        <v>460</v>
      </c>
      <c r="F47" s="65"/>
      <c r="G47" s="49">
        <f>SUM(G50:G52)</f>
        <v>0</v>
      </c>
      <c r="I47" s="49">
        <f>SUM(I50:I52)</f>
        <v>0</v>
      </c>
      <c r="K47" s="58" t="s">
        <v>172</v>
      </c>
    </row>
    <row r="48" spans="2:11" ht="14.25">
      <c r="B48" s="30"/>
      <c r="C48" s="259"/>
      <c r="D48" s="31"/>
      <c r="E48" s="30"/>
      <c r="F48" s="456" t="s">
        <v>173</v>
      </c>
      <c r="G48" s="456"/>
      <c r="H48" s="456" t="s">
        <v>174</v>
      </c>
      <c r="I48" s="456"/>
      <c r="K48" s="58" t="s">
        <v>175</v>
      </c>
    </row>
    <row r="49" spans="2:11" ht="14.25">
      <c r="B49" s="30"/>
      <c r="C49" s="260"/>
      <c r="D49" s="31"/>
      <c r="E49" s="67" t="s">
        <v>176</v>
      </c>
      <c r="F49" s="68"/>
      <c r="G49" s="69" t="s">
        <v>177</v>
      </c>
      <c r="H49" s="68"/>
      <c r="I49" s="69" t="s">
        <v>177</v>
      </c>
      <c r="K49" s="59"/>
    </row>
    <row r="50" spans="2:11" ht="12.75">
      <c r="B50" s="30" t="s">
        <v>178</v>
      </c>
      <c r="C50" s="265">
        <f>Surfaces!F59</f>
        <v>0</v>
      </c>
      <c r="D50" s="71" t="s">
        <v>80</v>
      </c>
      <c r="E50" t="s">
        <v>179</v>
      </c>
      <c r="F50" s="251">
        <f>$F$4</f>
        <v>205</v>
      </c>
      <c r="G50" s="73">
        <f>F50*$C50</f>
        <v>0</v>
      </c>
      <c r="H50" s="251">
        <f>$G$4</f>
        <v>250</v>
      </c>
      <c r="I50" s="73">
        <f>H50*$C50</f>
        <v>0</v>
      </c>
      <c r="J50" s="30"/>
      <c r="K50" s="59" t="s">
        <v>165</v>
      </c>
    </row>
    <row r="51" spans="2:11" ht="12.75">
      <c r="B51" s="30" t="s">
        <v>445</v>
      </c>
      <c r="C51" s="265">
        <f>Surfaces!H72</f>
        <v>0</v>
      </c>
      <c r="D51" s="71" t="s">
        <v>119</v>
      </c>
      <c r="E51" t="s">
        <v>539</v>
      </c>
      <c r="F51" s="251">
        <f>C53+C54</f>
        <v>0</v>
      </c>
      <c r="G51" s="73">
        <f>F51*($F41+$F42)</f>
        <v>0</v>
      </c>
      <c r="H51" s="251">
        <f>C53+C54</f>
        <v>0</v>
      </c>
      <c r="I51" s="73">
        <f>H51*($F41+$F42)</f>
        <v>0</v>
      </c>
      <c r="J51" s="396"/>
      <c r="K51" s="59" t="s">
        <v>167</v>
      </c>
    </row>
    <row r="52" spans="5:10" ht="12.75">
      <c r="E52" t="s">
        <v>181</v>
      </c>
      <c r="F52" s="251">
        <f>$F$5</f>
        <v>60</v>
      </c>
      <c r="G52" s="266">
        <f>F52*C47*C51</f>
        <v>0</v>
      </c>
      <c r="H52" s="251">
        <f>$G$5</f>
        <v>80</v>
      </c>
      <c r="I52" s="266">
        <f>H52*C47*C51</f>
        <v>0</v>
      </c>
      <c r="J52" s="30"/>
    </row>
    <row r="53" spans="2:11" ht="12.75">
      <c r="B53" s="30" t="s">
        <v>464</v>
      </c>
      <c r="C53" s="48">
        <f>IF(Isolation!H$28=TRUE,$F$9,0)</f>
        <v>0</v>
      </c>
      <c r="D53" s="71"/>
      <c r="E53" t="s">
        <v>182</v>
      </c>
      <c r="F53" s="251">
        <f>$F$6</f>
        <v>150</v>
      </c>
      <c r="G53" s="73">
        <f>IF(C39&gt;1,C45*F54,C45*F53)</f>
        <v>0</v>
      </c>
      <c r="H53" s="251">
        <f>$G$6</f>
        <v>180</v>
      </c>
      <c r="I53" s="73">
        <f>IF(C39&gt;1,C45*H54,C45*H53)</f>
        <v>0</v>
      </c>
      <c r="J53" s="30"/>
      <c r="K53" s="59" t="s">
        <v>183</v>
      </c>
    </row>
    <row r="54" spans="2:11" ht="12.75">
      <c r="B54" s="30" t="s">
        <v>535</v>
      </c>
      <c r="C54" s="48">
        <f>IF(Isolation!H$30=TRUE,$F$10,0)</f>
        <v>0</v>
      </c>
      <c r="D54" s="71"/>
      <c r="E54" t="s">
        <v>184</v>
      </c>
      <c r="F54" s="251">
        <f>$F$7</f>
        <v>250</v>
      </c>
      <c r="G54" s="73"/>
      <c r="H54" s="251">
        <f>$G$7</f>
        <v>250</v>
      </c>
      <c r="I54" s="73"/>
      <c r="J54" s="30"/>
      <c r="K54" s="59" t="s">
        <v>170</v>
      </c>
    </row>
    <row r="55" spans="2:11" ht="12.75">
      <c r="B55" s="30"/>
      <c r="D55" s="71" t="s">
        <v>185</v>
      </c>
      <c r="E55" t="s">
        <v>186</v>
      </c>
      <c r="F55" s="251">
        <f>$F$8</f>
        <v>205</v>
      </c>
      <c r="G55" s="73">
        <f>C45*F55</f>
        <v>0</v>
      </c>
      <c r="H55" s="251">
        <f>$G$8</f>
        <v>250</v>
      </c>
      <c r="I55" s="73">
        <f>C45*H55</f>
        <v>0</v>
      </c>
      <c r="J55" s="30"/>
      <c r="K55" s="58" t="s">
        <v>187</v>
      </c>
    </row>
    <row r="56" spans="2:11" ht="14.25">
      <c r="B56" s="30"/>
      <c r="C56" s="70"/>
      <c r="D56" s="71"/>
      <c r="F56" s="251"/>
      <c r="G56" s="64"/>
      <c r="H56" s="251"/>
      <c r="I56" s="64"/>
      <c r="J56" s="30"/>
      <c r="K56" s="58" t="s">
        <v>175</v>
      </c>
    </row>
    <row r="57" spans="2:11" ht="12.75">
      <c r="B57" s="30" t="s">
        <v>53</v>
      </c>
      <c r="C57" s="252">
        <f>Isolation!G$15</f>
        <v>0</v>
      </c>
      <c r="D57" s="71"/>
      <c r="E57" t="s">
        <v>123</v>
      </c>
      <c r="F57" s="251">
        <f>$F$11</f>
        <v>1700</v>
      </c>
      <c r="G57" s="73">
        <f>F57*$C57</f>
        <v>0</v>
      </c>
      <c r="H57" s="251">
        <f>$G$11</f>
        <v>1900</v>
      </c>
      <c r="I57" s="73">
        <f>H57*$C57</f>
        <v>0</v>
      </c>
      <c r="J57" s="30"/>
      <c r="K57" s="59"/>
    </row>
    <row r="58" spans="2:11" ht="12.75">
      <c r="B58" s="30" t="s">
        <v>188</v>
      </c>
      <c r="C58" s="252">
        <f>Isolation!G$17</f>
        <v>0</v>
      </c>
      <c r="D58" s="71"/>
      <c r="E58" t="s">
        <v>189</v>
      </c>
      <c r="F58" s="251">
        <f>$F$12</f>
        <v>900</v>
      </c>
      <c r="G58" s="73">
        <f>F58*$C58</f>
        <v>0</v>
      </c>
      <c r="H58" s="251">
        <f>$G$12</f>
        <v>900</v>
      </c>
      <c r="I58" s="73">
        <f>H58*$C58</f>
        <v>0</v>
      </c>
      <c r="J58" s="30"/>
      <c r="K58" s="59" t="s">
        <v>190</v>
      </c>
    </row>
    <row r="59" spans="2:11" ht="12.75">
      <c r="B59" s="30" t="s">
        <v>191</v>
      </c>
      <c r="C59" s="252">
        <f>Isolation!G$19</f>
        <v>0</v>
      </c>
      <c r="D59" s="71" t="s">
        <v>119</v>
      </c>
      <c r="E59" t="s">
        <v>192</v>
      </c>
      <c r="F59" s="251">
        <f>$F$13</f>
        <v>170</v>
      </c>
      <c r="G59" s="73">
        <f>F59*$C59</f>
        <v>0</v>
      </c>
      <c r="H59" s="251">
        <f>$G$13</f>
        <v>180</v>
      </c>
      <c r="I59" s="73">
        <f>H59*$C59</f>
        <v>0</v>
      </c>
      <c r="J59" s="30"/>
      <c r="K59" s="59" t="s">
        <v>193</v>
      </c>
    </row>
    <row r="60" spans="2:11" ht="12.75">
      <c r="B60" s="30" t="s">
        <v>194</v>
      </c>
      <c r="C60" s="252">
        <f>Isolation!G$21</f>
        <v>0</v>
      </c>
      <c r="D60" s="71" t="s">
        <v>119</v>
      </c>
      <c r="E60" t="s">
        <v>195</v>
      </c>
      <c r="F60" s="251">
        <f>$F$14</f>
        <v>200</v>
      </c>
      <c r="G60" s="73">
        <f>F60*$C60</f>
        <v>0</v>
      </c>
      <c r="H60" s="251">
        <f>$G$14</f>
        <v>240</v>
      </c>
      <c r="I60" s="73">
        <f>H60*$C60</f>
        <v>0</v>
      </c>
      <c r="J60" s="30"/>
      <c r="K60" s="58" t="s">
        <v>196</v>
      </c>
    </row>
    <row r="61" spans="2:11" ht="12.75">
      <c r="B61" s="30" t="s">
        <v>127</v>
      </c>
      <c r="C61" s="252">
        <f>Isolation!G$23*C42</f>
        <v>0</v>
      </c>
      <c r="D61" s="71" t="s">
        <v>80</v>
      </c>
      <c r="E61" t="s">
        <v>197</v>
      </c>
      <c r="F61" s="251">
        <f>$F$15</f>
        <v>140</v>
      </c>
      <c r="G61" s="73">
        <f>F61*$C61</f>
        <v>0</v>
      </c>
      <c r="H61" s="251">
        <f>$G$15</f>
        <v>140</v>
      </c>
      <c r="I61" s="73">
        <f>H61*$C61</f>
        <v>0</v>
      </c>
      <c r="J61" s="30"/>
      <c r="K61" s="58" t="s">
        <v>175</v>
      </c>
    </row>
    <row r="62" spans="2:11" ht="12.75">
      <c r="B62" s="61" t="s">
        <v>198</v>
      </c>
      <c r="C62" s="253">
        <f>IF(I37=TRUE,(C45*2),0)</f>
        <v>0</v>
      </c>
      <c r="D62" s="71" t="s">
        <v>119</v>
      </c>
      <c r="E62" t="s">
        <v>199</v>
      </c>
      <c r="F62" s="251">
        <f>$F$16</f>
        <v>10</v>
      </c>
      <c r="G62" s="73">
        <f>C62*F62</f>
        <v>0</v>
      </c>
      <c r="H62" s="251">
        <f>$G$16</f>
        <v>10</v>
      </c>
      <c r="I62" s="73">
        <f>J62*H62</f>
        <v>0</v>
      </c>
      <c r="J62" s="74">
        <f>IF($I$37=TRUE,(C45*2),0)</f>
        <v>0</v>
      </c>
      <c r="K62" s="58"/>
    </row>
    <row r="63" spans="2:11" ht="15">
      <c r="B63" s="30"/>
      <c r="C63" s="66"/>
      <c r="D63" s="71"/>
      <c r="F63" s="72"/>
      <c r="G63" s="73"/>
      <c r="H63" s="72"/>
      <c r="I63" s="73"/>
      <c r="K63" s="58"/>
    </row>
    <row r="64" spans="2:11" ht="12.75">
      <c r="B64" s="30" t="s">
        <v>200</v>
      </c>
      <c r="C64" s="249"/>
      <c r="D64" s="30"/>
      <c r="E64" s="30"/>
      <c r="F64" s="251"/>
      <c r="G64" s="74">
        <f>IF(C38&gt;1,SUM(G50:G62),0)</f>
        <v>0</v>
      </c>
      <c r="H64" s="251"/>
      <c r="I64" s="74">
        <f>IF(C38&gt;1,SUM(I50:I62),0)</f>
        <v>0</v>
      </c>
      <c r="J64" s="30"/>
      <c r="K64" s="58"/>
    </row>
    <row r="65" spans="2:11" ht="12.75">
      <c r="B65" s="30"/>
      <c r="C65" s="250" t="s">
        <v>446</v>
      </c>
      <c r="D65" s="30">
        <v>1</v>
      </c>
      <c r="E65" s="75" t="s">
        <v>201</v>
      </c>
      <c r="F65" s="75">
        <f>IF(C38&gt;2,I64,G64)</f>
        <v>0</v>
      </c>
      <c r="H65" s="77" t="s">
        <v>202</v>
      </c>
      <c r="I65" s="64">
        <f>IF(C38&gt;2,(I64*1.15),(G64*1.15))</f>
        <v>0</v>
      </c>
      <c r="J65" s="30"/>
      <c r="K65" s="58"/>
    </row>
    <row r="66" spans="2:11" ht="12.75">
      <c r="B66" s="30"/>
      <c r="C66" s="250" t="s">
        <v>446</v>
      </c>
      <c r="D66" s="30">
        <v>2</v>
      </c>
      <c r="E66" s="75" t="s">
        <v>201</v>
      </c>
      <c r="F66" s="75" t="str">
        <f>F114</f>
        <v>0,00</v>
      </c>
      <c r="H66" s="77" t="s">
        <v>202</v>
      </c>
      <c r="I66" s="64">
        <f>I114</f>
        <v>0</v>
      </c>
      <c r="J66" s="30"/>
      <c r="K66" s="58"/>
    </row>
    <row r="67" spans="2:11" ht="12.75">
      <c r="B67" s="30"/>
      <c r="C67" s="250" t="s">
        <v>446</v>
      </c>
      <c r="D67" s="30">
        <v>3</v>
      </c>
      <c r="E67" s="75" t="s">
        <v>201</v>
      </c>
      <c r="F67" s="75" t="str">
        <f>F156</f>
        <v>0,00</v>
      </c>
      <c r="H67" s="77" t="s">
        <v>202</v>
      </c>
      <c r="I67" s="64">
        <f>I156</f>
        <v>0</v>
      </c>
      <c r="J67" s="30"/>
      <c r="K67" s="58"/>
    </row>
    <row r="68" spans="2:11" ht="12.75">
      <c r="B68" s="30"/>
      <c r="C68" s="249"/>
      <c r="D68" s="30" t="s">
        <v>106</v>
      </c>
      <c r="E68" s="75" t="s">
        <v>201</v>
      </c>
      <c r="F68" s="128">
        <f>SUM(F65:F67)</f>
        <v>0</v>
      </c>
      <c r="H68" s="77" t="s">
        <v>202</v>
      </c>
      <c r="I68" s="128">
        <f>SUM(I65:I67)</f>
        <v>0</v>
      </c>
      <c r="J68" s="30"/>
      <c r="K68" s="58"/>
    </row>
    <row r="69" spans="2:11" ht="12.75">
      <c r="B69" s="63" t="s">
        <v>203</v>
      </c>
      <c r="C69" s="73"/>
      <c r="D69" s="30"/>
      <c r="E69" s="30"/>
      <c r="F69" s="251"/>
      <c r="G69" s="64"/>
      <c r="H69" s="251"/>
      <c r="I69" s="64"/>
      <c r="J69" s="30"/>
      <c r="K69" s="58"/>
    </row>
    <row r="70" spans="2:11" ht="12.75">
      <c r="B70" s="30" t="s">
        <v>448</v>
      </c>
      <c r="C70" s="253">
        <f>IF(I38=TRUE,F42,0)</f>
        <v>0</v>
      </c>
      <c r="D70" s="30" t="s">
        <v>80</v>
      </c>
      <c r="E70" s="30" t="s">
        <v>153</v>
      </c>
      <c r="F70" s="251">
        <f>$F$18</f>
        <v>60</v>
      </c>
      <c r="G70" s="73">
        <f>F70*$C70</f>
        <v>0</v>
      </c>
      <c r="H70" s="251">
        <f>$G$18</f>
        <v>60</v>
      </c>
      <c r="I70" s="73">
        <f>H70*$C70</f>
        <v>0</v>
      </c>
      <c r="J70" s="74">
        <f>IF($I$38=TRUE,$F$42,0)</f>
        <v>0</v>
      </c>
      <c r="K70" s="59" t="s">
        <v>205</v>
      </c>
    </row>
    <row r="71" spans="2:11" ht="12.75">
      <c r="B71" s="30" t="s">
        <v>52</v>
      </c>
      <c r="C71" s="253">
        <f>IF(I44=TRUE,F41,0)</f>
        <v>0</v>
      </c>
      <c r="D71" s="30" t="s">
        <v>80</v>
      </c>
      <c r="E71" s="76" t="s">
        <v>52</v>
      </c>
      <c r="F71" s="251">
        <f>$F$19</f>
        <v>85</v>
      </c>
      <c r="G71" s="73">
        <f>F71*$C71</f>
        <v>0</v>
      </c>
      <c r="H71" s="251">
        <f>$G$19</f>
        <v>89</v>
      </c>
      <c r="I71" s="73">
        <f>H71*$C71</f>
        <v>0</v>
      </c>
      <c r="J71" s="74">
        <f>IF($I$44=TRUE,$F$41,0)</f>
        <v>0</v>
      </c>
      <c r="K71" s="59"/>
    </row>
    <row r="72" spans="2:11" ht="12.75">
      <c r="B72" s="30" t="s">
        <v>142</v>
      </c>
      <c r="C72" s="253">
        <f>IF(I39=TRUE,F41,0)</f>
        <v>0</v>
      </c>
      <c r="D72" s="30" t="s">
        <v>80</v>
      </c>
      <c r="E72" s="30" t="s">
        <v>155</v>
      </c>
      <c r="F72" s="251">
        <f>$F$20</f>
        <v>89</v>
      </c>
      <c r="G72" s="73">
        <f>F72*$C72</f>
        <v>0</v>
      </c>
      <c r="H72" s="251">
        <f>$G$20</f>
        <v>85</v>
      </c>
      <c r="I72" s="73">
        <f>H72*$C72</f>
        <v>0</v>
      </c>
      <c r="J72" s="74">
        <f>IF($I$39=TRUE,$F$41,0)</f>
        <v>0</v>
      </c>
      <c r="K72" s="59" t="s">
        <v>206</v>
      </c>
    </row>
    <row r="73" spans="2:11" ht="12.75">
      <c r="B73" s="30" t="s">
        <v>207</v>
      </c>
      <c r="C73" s="253">
        <f>IF(I40=TRUE,(C45*1.6),0)</f>
        <v>0</v>
      </c>
      <c r="D73" s="30"/>
      <c r="E73" s="30" t="s">
        <v>208</v>
      </c>
      <c r="F73" s="251">
        <f>$F$21</f>
        <v>60</v>
      </c>
      <c r="G73" s="73">
        <f>F73*$C73</f>
        <v>0</v>
      </c>
      <c r="H73" s="251">
        <f>$G$21</f>
        <v>60</v>
      </c>
      <c r="I73" s="73">
        <f>H73*$C73</f>
        <v>0</v>
      </c>
      <c r="J73" s="74">
        <f>IF($I$40=TRUE,(C45*1.6),0)</f>
        <v>0</v>
      </c>
      <c r="K73" s="58" t="s">
        <v>209</v>
      </c>
    </row>
    <row r="74" spans="2:11" ht="12.75">
      <c r="B74" s="30" t="s">
        <v>159</v>
      </c>
      <c r="C74" s="253">
        <f>IF(I41=TRUE,(C45/5),0)</f>
        <v>0</v>
      </c>
      <c r="D74" s="30" t="s">
        <v>119</v>
      </c>
      <c r="E74" s="30" t="s">
        <v>210</v>
      </c>
      <c r="F74" s="251">
        <f>$F$22</f>
        <v>50</v>
      </c>
      <c r="G74" s="73">
        <f>F74*$C74</f>
        <v>0</v>
      </c>
      <c r="H74" s="251">
        <f>$G$22</f>
        <v>50</v>
      </c>
      <c r="I74" s="73">
        <f>H74*$C74</f>
        <v>0</v>
      </c>
      <c r="J74" s="74">
        <f>IF($I$41=TRUE,(C45/5),0)</f>
        <v>0</v>
      </c>
      <c r="K74" s="58"/>
    </row>
    <row r="75" spans="2:11" ht="12.75">
      <c r="B75" s="30" t="s">
        <v>211</v>
      </c>
      <c r="C75" s="253">
        <f>IF(I42=TRUE,(C45*1.2),0)</f>
        <v>0</v>
      </c>
      <c r="D75" s="30" t="s">
        <v>119</v>
      </c>
      <c r="E75" s="30" t="s">
        <v>212</v>
      </c>
      <c r="F75" s="251">
        <f>$F$23</f>
        <v>60</v>
      </c>
      <c r="G75" s="74">
        <f>IF((I42=TRUE),500+(F75*C75),0)</f>
        <v>0</v>
      </c>
      <c r="H75" s="251">
        <f>$G$23</f>
        <v>60</v>
      </c>
      <c r="I75" s="74">
        <f>IF((I42=TRUE),800+(J75*H75),0)</f>
        <v>0</v>
      </c>
      <c r="J75" s="74">
        <f>IF($I$42=TRUE,(C45*1.2),0)</f>
        <v>0</v>
      </c>
      <c r="K75" s="58" t="s">
        <v>175</v>
      </c>
    </row>
    <row r="76" spans="2:11" ht="12.75">
      <c r="B76" s="30" t="s">
        <v>213</v>
      </c>
      <c r="C76" s="253">
        <f>IF(I43=TRUE,(C45*1.2),0)</f>
        <v>0</v>
      </c>
      <c r="D76" s="30" t="s">
        <v>119</v>
      </c>
      <c r="E76" s="30" t="s">
        <v>214</v>
      </c>
      <c r="F76" s="251">
        <f>$F$24</f>
        <v>65</v>
      </c>
      <c r="G76" s="74">
        <f>IF((I43=TRUE),4000+(F76*C76),0)</f>
        <v>0</v>
      </c>
      <c r="H76" s="251">
        <f>$G$24</f>
        <v>70</v>
      </c>
      <c r="I76" s="74">
        <f>IF((I43=TRUE),6000+(J76*H76),0)</f>
        <v>0</v>
      </c>
      <c r="J76" s="74">
        <f>IF($I$43=TRUE,(C45*1.2),0)</f>
        <v>0</v>
      </c>
      <c r="K76" s="58"/>
    </row>
    <row r="77" spans="2:4" ht="12.75">
      <c r="B77" s="30"/>
      <c r="D77" s="71"/>
    </row>
    <row r="78" spans="2:11" ht="14.25">
      <c r="B78" s="31"/>
      <c r="C78" s="31"/>
      <c r="D78" s="31"/>
      <c r="E78" s="31"/>
      <c r="F78" s="77" t="s">
        <v>215</v>
      </c>
      <c r="G78" s="75" t="str">
        <f>IF(C38&gt;1,SUM(G70:G76),"0,00")</f>
        <v>0,00</v>
      </c>
      <c r="H78" s="77" t="s">
        <v>215</v>
      </c>
      <c r="I78" s="75">
        <f>IF(C38&gt;1,SUM(I70:I76),0)</f>
        <v>0</v>
      </c>
      <c r="K78" s="59" t="s">
        <v>216</v>
      </c>
    </row>
    <row r="79" spans="2:11" ht="15">
      <c r="B79" s="31"/>
      <c r="C79" s="74">
        <f>IF(I42=TRUE,15,0)</f>
        <v>0</v>
      </c>
      <c r="D79" s="31"/>
      <c r="E79" s="31"/>
      <c r="F79" s="78"/>
      <c r="G79" s="65"/>
      <c r="K79" s="59" t="s">
        <v>217</v>
      </c>
    </row>
    <row r="80" spans="2:11" ht="14.25">
      <c r="B80" s="31"/>
      <c r="C80" s="74">
        <f>IF(I43=TRUE,15,0)</f>
        <v>0</v>
      </c>
      <c r="D80" s="31"/>
      <c r="E80" s="30" t="s">
        <v>386</v>
      </c>
      <c r="F80" s="75" t="s">
        <v>201</v>
      </c>
      <c r="G80" s="62" t="str">
        <f>IF(C38&gt;2,I78,G78)</f>
        <v>0,00</v>
      </c>
      <c r="H80" s="65" t="s">
        <v>202</v>
      </c>
      <c r="I80" s="48">
        <f>IF(C38&gt;2,(I78*1.15),(G78*1.15))</f>
        <v>0</v>
      </c>
      <c r="K80" s="59" t="s">
        <v>218</v>
      </c>
    </row>
    <row r="81" spans="2:9" ht="14.25">
      <c r="B81" s="31"/>
      <c r="C81" s="31"/>
      <c r="D81" s="31"/>
      <c r="E81" s="30" t="s">
        <v>393</v>
      </c>
      <c r="F81" s="75" t="s">
        <v>201</v>
      </c>
      <c r="G81" s="62" t="str">
        <f>G126</f>
        <v>0,00</v>
      </c>
      <c r="H81" s="65" t="s">
        <v>202</v>
      </c>
      <c r="I81" s="48">
        <f>I126</f>
        <v>0</v>
      </c>
    </row>
    <row r="82" spans="2:11" ht="14.25">
      <c r="B82" s="31"/>
      <c r="C82" s="70"/>
      <c r="D82" s="31"/>
      <c r="E82" s="30" t="s">
        <v>394</v>
      </c>
      <c r="F82" s="75" t="s">
        <v>201</v>
      </c>
      <c r="G82" s="62" t="str">
        <f>G168</f>
        <v>0,00</v>
      </c>
      <c r="H82" s="65" t="s">
        <v>202</v>
      </c>
      <c r="I82" s="48">
        <f>I168</f>
        <v>0</v>
      </c>
      <c r="K82" s="79" t="s">
        <v>299</v>
      </c>
    </row>
    <row r="83" ht="12.75">
      <c r="K83" s="59" t="s">
        <v>219</v>
      </c>
    </row>
    <row r="84" spans="5:11" ht="12.75">
      <c r="E84" t="s">
        <v>106</v>
      </c>
      <c r="F84" s="75" t="s">
        <v>201</v>
      </c>
      <c r="G84" s="128">
        <f>SUM(G80:G82)</f>
        <v>0</v>
      </c>
      <c r="H84" s="65" t="s">
        <v>202</v>
      </c>
      <c r="I84" s="128">
        <f>SUM(I80:I82)</f>
        <v>0</v>
      </c>
      <c r="K84" s="59" t="s">
        <v>220</v>
      </c>
    </row>
    <row r="85" spans="2:11" ht="12.75">
      <c r="B85" t="s">
        <v>221</v>
      </c>
      <c r="K85" s="59" t="s">
        <v>222</v>
      </c>
    </row>
    <row r="86" spans="2:10" ht="12.75">
      <c r="B86" s="29"/>
      <c r="C86" s="30"/>
      <c r="D86" s="30"/>
      <c r="E86" s="30"/>
      <c r="F86" s="261"/>
      <c r="G86" s="30"/>
      <c r="H86" s="30" t="s">
        <v>151</v>
      </c>
      <c r="I86" s="30" t="b">
        <f>Isolation!N$25</f>
        <v>0</v>
      </c>
      <c r="J86" s="30"/>
    </row>
    <row r="87" spans="2:11" ht="12.75">
      <c r="B87" s="30" t="s">
        <v>152</v>
      </c>
      <c r="C87" s="30">
        <f>Isolation!M$10</f>
        <v>1</v>
      </c>
      <c r="D87" s="30"/>
      <c r="E87" s="30" t="str">
        <f>IF((C90*C91*C92)=0,"0,3",C90)</f>
        <v>0,3</v>
      </c>
      <c r="F87" s="261"/>
      <c r="G87" s="30"/>
      <c r="H87" s="30" t="s">
        <v>153</v>
      </c>
      <c r="I87" s="30" t="b">
        <f>Isolation!N$55</f>
        <v>0</v>
      </c>
      <c r="J87" s="30"/>
      <c r="K87" t="s">
        <v>223</v>
      </c>
    </row>
    <row r="88" spans="2:11" ht="12.75">
      <c r="B88" s="30" t="s">
        <v>154</v>
      </c>
      <c r="C88" s="30">
        <f>Isolation!M$12</f>
        <v>1</v>
      </c>
      <c r="D88" s="30"/>
      <c r="E88" s="30" t="str">
        <f>IF((C90*C91*C92)=0,"0,3",C91)</f>
        <v>0,3</v>
      </c>
      <c r="F88" s="261"/>
      <c r="G88" s="30"/>
      <c r="H88" s="30" t="s">
        <v>155</v>
      </c>
      <c r="I88" s="30" t="b">
        <f>Isolation!N$59</f>
        <v>0</v>
      </c>
      <c r="J88" s="30"/>
      <c r="K88" t="s">
        <v>224</v>
      </c>
    </row>
    <row r="89" spans="2:10" ht="12.75">
      <c r="B89" s="60" t="s">
        <v>0</v>
      </c>
      <c r="C89" s="30"/>
      <c r="D89" s="30"/>
      <c r="E89" s="30" t="str">
        <f>IF((C90*C91*C92)=0,"0,2",C92)</f>
        <v>0,2</v>
      </c>
      <c r="F89" s="261"/>
      <c r="G89" s="30"/>
      <c r="H89" s="30" t="s">
        <v>157</v>
      </c>
      <c r="I89" s="30" t="b">
        <f>Isolation!N$61</f>
        <v>0</v>
      </c>
      <c r="J89" s="30"/>
    </row>
    <row r="90" spans="2:11" ht="12.75">
      <c r="B90" s="61" t="s">
        <v>118</v>
      </c>
      <c r="C90" s="262">
        <f>IF((Dimensions!M$10)&gt;1,Dimensions!M$15,0)</f>
        <v>0</v>
      </c>
      <c r="D90" s="30" t="s">
        <v>119</v>
      </c>
      <c r="E90" s="30" t="s">
        <v>132</v>
      </c>
      <c r="F90" s="263">
        <f>IF(C87&gt;1,Surfaces!O77,0)</f>
        <v>0</v>
      </c>
      <c r="G90" s="30"/>
      <c r="H90" s="30" t="s">
        <v>159</v>
      </c>
      <c r="I90" s="30" t="b">
        <f>Isolation!N$63</f>
        <v>0</v>
      </c>
      <c r="J90" s="30"/>
      <c r="K90" s="80" t="s">
        <v>225</v>
      </c>
    </row>
    <row r="91" spans="2:11" ht="12.75">
      <c r="B91" s="61" t="s">
        <v>120</v>
      </c>
      <c r="C91" s="262">
        <f>IF((Dimensions!M$10)&gt;1,Dimensions!M$17,0)</f>
        <v>0</v>
      </c>
      <c r="D91" s="30" t="s">
        <v>119</v>
      </c>
      <c r="E91" s="30" t="s">
        <v>161</v>
      </c>
      <c r="F91" s="264">
        <f>IF(C87&gt;1,Surfaces!O59,0)</f>
        <v>0</v>
      </c>
      <c r="G91" s="30"/>
      <c r="H91" s="30" t="s">
        <v>162</v>
      </c>
      <c r="I91" s="30" t="b">
        <f>Isolation!N$65</f>
        <v>0</v>
      </c>
      <c r="J91" s="30"/>
      <c r="K91" s="58" t="s">
        <v>226</v>
      </c>
    </row>
    <row r="92" spans="2:11" ht="12.75">
      <c r="B92" s="61" t="s">
        <v>121</v>
      </c>
      <c r="C92" s="262">
        <f>IF((Dimensions!M$10)&gt;1,Dimensions!M$19,0)</f>
        <v>0</v>
      </c>
      <c r="D92" s="30" t="s">
        <v>119</v>
      </c>
      <c r="E92" s="30" t="s">
        <v>163</v>
      </c>
      <c r="F92" s="264">
        <f>IF(C87&gt;1,Surfaces!O81,0)</f>
        <v>0</v>
      </c>
      <c r="G92" s="30"/>
      <c r="H92" s="30" t="s">
        <v>164</v>
      </c>
      <c r="I92" s="30" t="b">
        <f>Isolation!N$67</f>
        <v>0</v>
      </c>
      <c r="J92" s="30"/>
      <c r="K92" s="58"/>
    </row>
    <row r="93" spans="2:11" ht="12.75">
      <c r="B93" s="63"/>
      <c r="C93" s="30"/>
      <c r="D93" s="30"/>
      <c r="E93" s="30" t="s">
        <v>166</v>
      </c>
      <c r="F93" s="264">
        <f>IF(C87&gt;0,Surfaces!O79,0)</f>
        <v>0</v>
      </c>
      <c r="G93" s="30"/>
      <c r="H93" s="30" t="s">
        <v>52</v>
      </c>
      <c r="I93" s="30" t="b">
        <f>Isolation!N$57</f>
        <v>0</v>
      </c>
      <c r="J93" s="30"/>
      <c r="K93" s="80" t="s">
        <v>227</v>
      </c>
    </row>
    <row r="94" spans="2:10" ht="12.75">
      <c r="B94" s="30" t="s">
        <v>88</v>
      </c>
      <c r="C94" s="257">
        <f>Surfaces!M77</f>
        <v>0</v>
      </c>
      <c r="D94" s="30" t="s">
        <v>80</v>
      </c>
      <c r="E94" s="30"/>
      <c r="F94" s="30"/>
      <c r="G94" s="30"/>
      <c r="H94" s="30"/>
      <c r="I94" s="30"/>
      <c r="J94" s="30"/>
    </row>
    <row r="95" spans="2:11" ht="12.75">
      <c r="B95" s="30" t="s">
        <v>169</v>
      </c>
      <c r="C95" s="257">
        <f>Surfaces!M66</f>
        <v>0</v>
      </c>
      <c r="D95" s="30" t="s">
        <v>119</v>
      </c>
      <c r="E95" t="s">
        <v>459</v>
      </c>
      <c r="F95" s="30"/>
      <c r="G95" s="109" t="e">
        <f>(G99+G101)/C99</f>
        <v>#DIV/0!</v>
      </c>
      <c r="H95" s="30"/>
      <c r="I95" s="109" t="e">
        <f>(I99+I101)/C99</f>
        <v>#DIV/0!</v>
      </c>
      <c r="J95" s="30"/>
      <c r="K95" s="80" t="s">
        <v>228</v>
      </c>
    </row>
    <row r="96" spans="2:11" ht="12.75">
      <c r="B96" s="30" t="s">
        <v>171</v>
      </c>
      <c r="C96" s="252">
        <f>Isolation!M$13</f>
        <v>0</v>
      </c>
      <c r="D96" s="30"/>
      <c r="E96" s="30" t="s">
        <v>460</v>
      </c>
      <c r="F96" s="77"/>
      <c r="G96" s="109">
        <f>SUM(G99:G101)</f>
        <v>0</v>
      </c>
      <c r="H96" s="30"/>
      <c r="I96" s="109">
        <f>SUM(I99:I101)</f>
        <v>0</v>
      </c>
      <c r="J96" s="30"/>
      <c r="K96" s="58" t="s">
        <v>229</v>
      </c>
    </row>
    <row r="97" spans="2:11" ht="12.75">
      <c r="B97" s="30"/>
      <c r="C97" s="249"/>
      <c r="D97" s="30"/>
      <c r="E97" s="30"/>
      <c r="F97" s="456" t="s">
        <v>173</v>
      </c>
      <c r="G97" s="456"/>
      <c r="H97" s="456" t="s">
        <v>174</v>
      </c>
      <c r="I97" s="456"/>
      <c r="J97" s="30"/>
      <c r="K97" s="58" t="s">
        <v>230</v>
      </c>
    </row>
    <row r="98" spans="2:11" ht="12.75">
      <c r="B98" s="30"/>
      <c r="C98" s="64"/>
      <c r="D98" s="30"/>
      <c r="E98" s="67" t="s">
        <v>176</v>
      </c>
      <c r="F98" s="61"/>
      <c r="G98" s="69" t="s">
        <v>177</v>
      </c>
      <c r="H98" s="61"/>
      <c r="I98" s="69" t="s">
        <v>177</v>
      </c>
      <c r="J98" s="30"/>
      <c r="K98" t="s">
        <v>231</v>
      </c>
    </row>
    <row r="99" spans="2:10" ht="12.75">
      <c r="B99" s="30" t="s">
        <v>178</v>
      </c>
      <c r="C99" s="265">
        <f>Surfaces!M59</f>
        <v>0</v>
      </c>
      <c r="D99" s="30" t="s">
        <v>80</v>
      </c>
      <c r="E99" s="30" t="s">
        <v>179</v>
      </c>
      <c r="F99" s="251">
        <f>$F$4</f>
        <v>205</v>
      </c>
      <c r="G99" s="73">
        <f>F99*$C99</f>
        <v>0</v>
      </c>
      <c r="H99" s="251">
        <f>$G$4</f>
        <v>250</v>
      </c>
      <c r="I99" s="73">
        <f>H99*$C99</f>
        <v>0</v>
      </c>
      <c r="J99" s="30"/>
    </row>
    <row r="100" spans="2:10" ht="12.75">
      <c r="B100" s="30" t="s">
        <v>180</v>
      </c>
      <c r="C100" s="265">
        <f>Surfaces!O72</f>
        <v>0</v>
      </c>
      <c r="D100" s="30" t="s">
        <v>119</v>
      </c>
      <c r="E100" t="s">
        <v>539</v>
      </c>
      <c r="F100" s="251">
        <f>C102+C103</f>
        <v>0</v>
      </c>
      <c r="G100" s="73">
        <f>F100*($F90+$F91)</f>
        <v>0</v>
      </c>
      <c r="H100" s="251">
        <f>C102+C103</f>
        <v>0</v>
      </c>
      <c r="I100" s="73">
        <f>H100*($F90+$F91)</f>
        <v>0</v>
      </c>
      <c r="J100" s="396"/>
    </row>
    <row r="101" spans="5:11" ht="12.75">
      <c r="E101" s="30" t="s">
        <v>181</v>
      </c>
      <c r="F101" s="251">
        <f>$F$5</f>
        <v>60</v>
      </c>
      <c r="G101" s="266">
        <f>F101*C96*C100</f>
        <v>0</v>
      </c>
      <c r="H101" s="251">
        <f>$G$5</f>
        <v>80</v>
      </c>
      <c r="I101" s="266">
        <f>H101*C96*C100</f>
        <v>0</v>
      </c>
      <c r="J101" s="30"/>
      <c r="K101" s="79" t="s">
        <v>232</v>
      </c>
    </row>
    <row r="102" spans="2:11" ht="12.75">
      <c r="B102" s="30" t="s">
        <v>464</v>
      </c>
      <c r="C102" s="48">
        <f>IF(Isolation!N$28=TRUE,$F$9,0)</f>
        <v>0</v>
      </c>
      <c r="D102" s="30"/>
      <c r="E102" s="30" t="s">
        <v>182</v>
      </c>
      <c r="F102" s="251">
        <f>$F$6</f>
        <v>150</v>
      </c>
      <c r="G102" s="73">
        <f>IF(C88&gt;1,C94*F103,C94*F102)</f>
        <v>0</v>
      </c>
      <c r="H102" s="251">
        <f>$G$6</f>
        <v>180</v>
      </c>
      <c r="I102" s="73">
        <f>IF(C88&gt;1,C94*H103,C94*H102)</f>
        <v>0</v>
      </c>
      <c r="J102" s="30"/>
      <c r="K102" s="59" t="s">
        <v>233</v>
      </c>
    </row>
    <row r="103" spans="2:10" ht="12.75">
      <c r="B103" s="30" t="s">
        <v>535</v>
      </c>
      <c r="C103" s="48">
        <f>IF(Isolation!N$30=TRUE,$F$10,0)</f>
        <v>0</v>
      </c>
      <c r="D103" s="30"/>
      <c r="E103" s="30" t="s">
        <v>184</v>
      </c>
      <c r="F103" s="251">
        <f>$F$7</f>
        <v>250</v>
      </c>
      <c r="G103" s="73"/>
      <c r="H103" s="251">
        <f>$G$7</f>
        <v>250</v>
      </c>
      <c r="I103" s="73"/>
      <c r="J103" s="30"/>
    </row>
    <row r="104" spans="2:10" ht="12.75">
      <c r="B104" s="30"/>
      <c r="C104" s="30"/>
      <c r="D104" s="30" t="s">
        <v>185</v>
      </c>
      <c r="E104" s="30" t="s">
        <v>186</v>
      </c>
      <c r="F104" s="251">
        <f>$F$8</f>
        <v>205</v>
      </c>
      <c r="G104" s="73">
        <f>C94*F104</f>
        <v>0</v>
      </c>
      <c r="H104" s="251">
        <f>$G$8</f>
        <v>250</v>
      </c>
      <c r="I104" s="73">
        <f>C94*H104</f>
        <v>0</v>
      </c>
      <c r="J104" s="30"/>
    </row>
    <row r="105" spans="2:10" ht="12.75">
      <c r="B105" s="30"/>
      <c r="C105" s="73"/>
      <c r="D105" s="30"/>
      <c r="E105" s="30"/>
      <c r="F105" s="251"/>
      <c r="G105" s="64"/>
      <c r="H105" s="251"/>
      <c r="I105" s="64"/>
      <c r="J105" s="30"/>
    </row>
    <row r="106" spans="2:10" ht="12.75">
      <c r="B106" s="30" t="s">
        <v>53</v>
      </c>
      <c r="C106" s="252">
        <f>Isolation!M$15</f>
        <v>0</v>
      </c>
      <c r="D106" s="30"/>
      <c r="E106" s="30" t="s">
        <v>123</v>
      </c>
      <c r="F106" s="251">
        <f>$F$11</f>
        <v>1700</v>
      </c>
      <c r="G106" s="73">
        <f>F106*$C106</f>
        <v>0</v>
      </c>
      <c r="H106" s="251">
        <f>$G$11</f>
        <v>1900</v>
      </c>
      <c r="I106" s="73">
        <f>H106*$C106</f>
        <v>0</v>
      </c>
      <c r="J106" s="30"/>
    </row>
    <row r="107" spans="2:10" ht="12.75">
      <c r="B107" s="30" t="s">
        <v>188</v>
      </c>
      <c r="C107" s="252">
        <f>Isolation!M$17</f>
        <v>0</v>
      </c>
      <c r="D107" s="30"/>
      <c r="E107" s="30" t="s">
        <v>189</v>
      </c>
      <c r="F107" s="251">
        <f>$F$12</f>
        <v>900</v>
      </c>
      <c r="G107" s="73">
        <f>F107*$C107</f>
        <v>0</v>
      </c>
      <c r="H107" s="251">
        <f>$G$12</f>
        <v>900</v>
      </c>
      <c r="I107" s="73">
        <f>H107*$C107</f>
        <v>0</v>
      </c>
      <c r="J107" s="30"/>
    </row>
    <row r="108" spans="2:10" ht="12.75">
      <c r="B108" s="30" t="s">
        <v>191</v>
      </c>
      <c r="C108" s="252">
        <f>Isolation!M$19</f>
        <v>0</v>
      </c>
      <c r="D108" s="30" t="s">
        <v>119</v>
      </c>
      <c r="E108" s="30" t="s">
        <v>192</v>
      </c>
      <c r="F108" s="251">
        <f>$F$13</f>
        <v>170</v>
      </c>
      <c r="G108" s="73">
        <f>F108*$C108</f>
        <v>0</v>
      </c>
      <c r="H108" s="251">
        <f>$G$13</f>
        <v>180</v>
      </c>
      <c r="I108" s="73">
        <f>H108*$C108</f>
        <v>0</v>
      </c>
      <c r="J108" s="30"/>
    </row>
    <row r="109" spans="2:10" ht="12.75">
      <c r="B109" s="30" t="s">
        <v>194</v>
      </c>
      <c r="C109" s="252">
        <f>Isolation!M$21</f>
        <v>0</v>
      </c>
      <c r="D109" s="30" t="s">
        <v>119</v>
      </c>
      <c r="E109" s="30" t="s">
        <v>195</v>
      </c>
      <c r="F109" s="251">
        <f>$F$14</f>
        <v>200</v>
      </c>
      <c r="G109" s="73">
        <f>F109*$C109</f>
        <v>0</v>
      </c>
      <c r="H109" s="251">
        <f>$G$14</f>
        <v>240</v>
      </c>
      <c r="I109" s="73">
        <f>H109*$C109</f>
        <v>0</v>
      </c>
      <c r="J109" s="30"/>
    </row>
    <row r="110" spans="2:10" ht="12.75">
      <c r="B110" s="30" t="s">
        <v>127</v>
      </c>
      <c r="C110" s="252">
        <f>Isolation!M$23*C91</f>
        <v>0</v>
      </c>
      <c r="D110" s="30" t="s">
        <v>80</v>
      </c>
      <c r="E110" s="30" t="s">
        <v>197</v>
      </c>
      <c r="F110" s="251">
        <f>$F$15</f>
        <v>140</v>
      </c>
      <c r="G110" s="73">
        <f>F110*$C110</f>
        <v>0</v>
      </c>
      <c r="H110" s="251">
        <f>$G$15</f>
        <v>140</v>
      </c>
      <c r="I110" s="73">
        <f>H110*$C110</f>
        <v>0</v>
      </c>
      <c r="J110" s="30"/>
    </row>
    <row r="111" spans="2:10" ht="12.75">
      <c r="B111" s="61" t="s">
        <v>198</v>
      </c>
      <c r="C111" s="253">
        <f>IF(I86=TRUE,(C94*2),0)</f>
        <v>0</v>
      </c>
      <c r="D111" s="30" t="s">
        <v>119</v>
      </c>
      <c r="E111" s="30" t="s">
        <v>199</v>
      </c>
      <c r="F111" s="251">
        <f>$F$16</f>
        <v>10</v>
      </c>
      <c r="G111" s="73">
        <f>C111*F111</f>
        <v>0</v>
      </c>
      <c r="H111" s="251">
        <f>$G$16</f>
        <v>10</v>
      </c>
      <c r="I111" s="73">
        <f>J111*H111</f>
        <v>0</v>
      </c>
      <c r="J111" s="74">
        <f>IF(I86=TRUE,(C94*2),0)</f>
        <v>0</v>
      </c>
    </row>
    <row r="112" spans="2:10" ht="12.75">
      <c r="B112" s="30"/>
      <c r="C112" s="249"/>
      <c r="D112" s="30"/>
      <c r="E112" s="30"/>
      <c r="F112" s="251"/>
      <c r="G112" s="73"/>
      <c r="H112" s="251"/>
      <c r="I112" s="73"/>
      <c r="J112" s="30"/>
    </row>
    <row r="113" spans="2:10" ht="12.75">
      <c r="B113" s="30" t="s">
        <v>200</v>
      </c>
      <c r="C113" s="249"/>
      <c r="D113" s="30"/>
      <c r="E113" s="30"/>
      <c r="F113" s="251"/>
      <c r="G113" s="74" t="str">
        <f>IF(C87&gt;1,SUM(G99:G111),"0,00")</f>
        <v>0,00</v>
      </c>
      <c r="H113" s="251"/>
      <c r="I113" s="74" t="str">
        <f>IF(C87&gt;1,SUM(I99:I111),"0,00")</f>
        <v>0,00</v>
      </c>
      <c r="J113" s="30"/>
    </row>
    <row r="114" spans="2:10" ht="12.75">
      <c r="B114" s="30"/>
      <c r="C114" s="249"/>
      <c r="D114" s="30"/>
      <c r="E114" s="75" t="s">
        <v>201</v>
      </c>
      <c r="F114" s="75" t="str">
        <f>IF(C87&gt;2,I113,G113)</f>
        <v>0,00</v>
      </c>
      <c r="H114" s="77" t="s">
        <v>202</v>
      </c>
      <c r="I114" s="64">
        <f>IF(C87&gt;2,(I113*1.15),(G113*1.15))</f>
        <v>0</v>
      </c>
      <c r="J114" s="30"/>
    </row>
    <row r="115" spans="2:10" ht="12.75">
      <c r="B115" s="63" t="s">
        <v>203</v>
      </c>
      <c r="C115" s="73"/>
      <c r="D115" s="30"/>
      <c r="E115" s="30"/>
      <c r="F115" s="251"/>
      <c r="G115" s="64"/>
      <c r="H115" s="251"/>
      <c r="I115" s="64"/>
      <c r="J115" s="30"/>
    </row>
    <row r="116" spans="2:10" ht="12.75">
      <c r="B116" s="30" t="s">
        <v>204</v>
      </c>
      <c r="C116" s="253">
        <f>IF(I87=TRUE,F91,0)</f>
        <v>0</v>
      </c>
      <c r="D116" s="30" t="s">
        <v>80</v>
      </c>
      <c r="E116" s="30" t="s">
        <v>153</v>
      </c>
      <c r="F116" s="251">
        <f>$F$18</f>
        <v>60</v>
      </c>
      <c r="G116" s="73">
        <f>F116*$C116</f>
        <v>0</v>
      </c>
      <c r="H116" s="251">
        <f>$G$18</f>
        <v>60</v>
      </c>
      <c r="I116" s="73">
        <f>H116*$C116</f>
        <v>0</v>
      </c>
      <c r="J116" s="74">
        <f>IF(I87=TRUE,F91,0)</f>
        <v>0</v>
      </c>
    </row>
    <row r="117" spans="2:10" ht="12.75">
      <c r="B117" s="30" t="s">
        <v>52</v>
      </c>
      <c r="C117" s="253">
        <f>IF(I93=TRUE,F90,0)</f>
        <v>0</v>
      </c>
      <c r="D117" s="30" t="s">
        <v>80</v>
      </c>
      <c r="E117" s="76" t="s">
        <v>52</v>
      </c>
      <c r="F117" s="251">
        <f>$F$19</f>
        <v>85</v>
      </c>
      <c r="G117" s="73">
        <f>F117*$C117</f>
        <v>0</v>
      </c>
      <c r="H117" s="251">
        <f>$G$19</f>
        <v>89</v>
      </c>
      <c r="I117" s="73">
        <f>H117*$C117</f>
        <v>0</v>
      </c>
      <c r="J117" s="74">
        <f>IF(I93=TRUE,F90,0)</f>
        <v>0</v>
      </c>
    </row>
    <row r="118" spans="2:10" ht="12.75">
      <c r="B118" s="30" t="s">
        <v>142</v>
      </c>
      <c r="C118" s="253">
        <f>IF(I88=TRUE,F90,0)</f>
        <v>0</v>
      </c>
      <c r="D118" s="30" t="s">
        <v>80</v>
      </c>
      <c r="E118" s="30" t="s">
        <v>155</v>
      </c>
      <c r="F118" s="251">
        <f>$F$20</f>
        <v>89</v>
      </c>
      <c r="G118" s="73">
        <f>F118*$C118</f>
        <v>0</v>
      </c>
      <c r="H118" s="251">
        <f>$G$20</f>
        <v>85</v>
      </c>
      <c r="I118" s="73">
        <f>H118*$C118</f>
        <v>0</v>
      </c>
      <c r="J118" s="74">
        <f>IF(I88=TRUE,F90,0)</f>
        <v>0</v>
      </c>
    </row>
    <row r="119" spans="2:10" ht="12.75">
      <c r="B119" s="30" t="s">
        <v>207</v>
      </c>
      <c r="C119" s="253">
        <f>IF(I89=TRUE,(C94*1.6),0)</f>
        <v>0</v>
      </c>
      <c r="D119" s="30"/>
      <c r="E119" s="30" t="s">
        <v>208</v>
      </c>
      <c r="F119" s="251">
        <f>$F$21</f>
        <v>60</v>
      </c>
      <c r="G119" s="73">
        <f>F119*$C119</f>
        <v>0</v>
      </c>
      <c r="H119" s="251">
        <f>$G$21</f>
        <v>60</v>
      </c>
      <c r="I119" s="73">
        <f>H119*$C119</f>
        <v>0</v>
      </c>
      <c r="J119" s="74">
        <f>IF(I89=TRUE,(C94*1.6),0)</f>
        <v>0</v>
      </c>
    </row>
    <row r="120" spans="2:10" ht="12.75">
      <c r="B120" s="30" t="s">
        <v>159</v>
      </c>
      <c r="C120" s="253">
        <f>IF(I90=TRUE,(C94/5),0)</f>
        <v>0</v>
      </c>
      <c r="D120" s="30" t="s">
        <v>119</v>
      </c>
      <c r="E120" s="30" t="s">
        <v>210</v>
      </c>
      <c r="F120" s="251">
        <f>$F$22</f>
        <v>50</v>
      </c>
      <c r="G120" s="73">
        <f>F120*$C120</f>
        <v>0</v>
      </c>
      <c r="H120" s="251">
        <f>$G$22</f>
        <v>50</v>
      </c>
      <c r="I120" s="73">
        <f>H120*$C120</f>
        <v>0</v>
      </c>
      <c r="J120" s="74">
        <f>IF(I90=TRUE,(C94/5),0)</f>
        <v>0</v>
      </c>
    </row>
    <row r="121" spans="2:10" ht="12.75">
      <c r="B121" s="30" t="s">
        <v>211</v>
      </c>
      <c r="C121" s="253">
        <f>IF(I91=TRUE,(C94*1.2),0)</f>
        <v>0</v>
      </c>
      <c r="D121" s="30" t="s">
        <v>119</v>
      </c>
      <c r="E121" s="30" t="s">
        <v>212</v>
      </c>
      <c r="F121" s="251">
        <f>$F$23</f>
        <v>60</v>
      </c>
      <c r="G121" s="74">
        <f>IF((I91=TRUE),200+(F121*C121),0)</f>
        <v>0</v>
      </c>
      <c r="H121" s="251">
        <f>$G$23</f>
        <v>60</v>
      </c>
      <c r="I121" s="74">
        <f>IF((I91=TRUE),200+(J121*H121),0)</f>
        <v>0</v>
      </c>
      <c r="J121" s="74">
        <f>IF(I91=TRUE,(C94*1.2),0)</f>
        <v>0</v>
      </c>
    </row>
    <row r="122" spans="2:10" ht="12.75">
      <c r="B122" s="30" t="s">
        <v>213</v>
      </c>
      <c r="C122" s="253">
        <f>IF(I92=TRUE,(C94*1.2),0)</f>
        <v>0</v>
      </c>
      <c r="D122" s="30" t="s">
        <v>119</v>
      </c>
      <c r="E122" s="30" t="s">
        <v>214</v>
      </c>
      <c r="F122" s="251">
        <f>$F$24</f>
        <v>65</v>
      </c>
      <c r="G122" s="74">
        <f>IF((I92=TRUE),500+(F122*C122),0)</f>
        <v>0</v>
      </c>
      <c r="H122" s="251">
        <f>$G$24</f>
        <v>70</v>
      </c>
      <c r="I122" s="74">
        <f>IF((I92=TRUE),800+(J122*H122),0)</f>
        <v>0</v>
      </c>
      <c r="J122" s="74">
        <f>IF(I92=TRUE,(C94*1.2),0)</f>
        <v>0</v>
      </c>
    </row>
    <row r="123" spans="2:10" ht="12.75">
      <c r="B123" s="30"/>
      <c r="C123" s="30"/>
      <c r="D123" s="30"/>
      <c r="E123" s="30"/>
      <c r="F123" s="30"/>
      <c r="G123" s="30"/>
      <c r="H123" s="30"/>
      <c r="I123" s="30"/>
      <c r="J123" s="30"/>
    </row>
    <row r="124" spans="2:10" ht="12.75">
      <c r="B124" s="30"/>
      <c r="C124" s="30"/>
      <c r="D124" s="30"/>
      <c r="E124" s="30"/>
      <c r="F124" s="77" t="s">
        <v>215</v>
      </c>
      <c r="G124" s="75" t="str">
        <f>IF(C87&gt;1,SUM(G116:G122),"0,00")</f>
        <v>0,00</v>
      </c>
      <c r="H124" s="77" t="s">
        <v>215</v>
      </c>
      <c r="I124" s="75" t="str">
        <f>IF(C87&gt;1,SUM(I116:I122),"0,00")</f>
        <v>0,00</v>
      </c>
      <c r="J124" s="30"/>
    </row>
    <row r="125" spans="2:10" ht="12.75">
      <c r="B125" s="30"/>
      <c r="C125" s="74">
        <f>IF(I91=TRUE,15,0)</f>
        <v>0</v>
      </c>
      <c r="D125" s="30"/>
      <c r="E125" s="30"/>
      <c r="F125" s="108"/>
      <c r="G125" s="30"/>
      <c r="H125" s="30"/>
      <c r="I125" s="30"/>
      <c r="J125" s="30"/>
    </row>
    <row r="126" spans="2:10" ht="12.75">
      <c r="B126" s="30"/>
      <c r="C126" s="74">
        <f>IF(I92=TRUE,15,0)</f>
        <v>0</v>
      </c>
      <c r="D126" s="30"/>
      <c r="E126" s="30" t="s">
        <v>393</v>
      </c>
      <c r="F126" s="75" t="s">
        <v>201</v>
      </c>
      <c r="G126" s="75" t="str">
        <f>IF(C87&gt;2,I124,G124)</f>
        <v>0,00</v>
      </c>
      <c r="H126" s="77" t="s">
        <v>202</v>
      </c>
      <c r="I126" s="64">
        <f>IF(C87&gt;2,(I124*1.15),(G124*1.15))</f>
        <v>0</v>
      </c>
      <c r="J126" s="30"/>
    </row>
    <row r="127" spans="2:10" ht="12.75">
      <c r="B127" s="30" t="s">
        <v>221</v>
      </c>
      <c r="C127" s="30"/>
      <c r="D127" s="30"/>
      <c r="E127" s="30"/>
      <c r="F127" s="30"/>
      <c r="G127" s="30"/>
      <c r="H127" s="30"/>
      <c r="I127" s="30"/>
      <c r="J127" s="30"/>
    </row>
    <row r="128" spans="2:10" ht="12.75">
      <c r="B128" s="29"/>
      <c r="C128" s="30"/>
      <c r="D128" s="30"/>
      <c r="E128" s="30"/>
      <c r="F128" s="261"/>
      <c r="G128" s="30"/>
      <c r="H128" s="30" t="s">
        <v>151</v>
      </c>
      <c r="I128" s="30" t="b">
        <f>Isolation!T$25</f>
        <v>0</v>
      </c>
      <c r="J128" s="30"/>
    </row>
    <row r="129" spans="2:10" ht="12.75">
      <c r="B129" s="30" t="s">
        <v>152</v>
      </c>
      <c r="C129" s="30">
        <f>Isolation!S$10</f>
        <v>1</v>
      </c>
      <c r="D129" s="30"/>
      <c r="E129" s="30" t="str">
        <f>IF((C132*C133*C134)=0,"0,3",C132)</f>
        <v>0,3</v>
      </c>
      <c r="F129" s="261"/>
      <c r="G129" s="30"/>
      <c r="H129" s="30" t="s">
        <v>153</v>
      </c>
      <c r="I129" s="30" t="b">
        <f>Isolation!T$55</f>
        <v>0</v>
      </c>
      <c r="J129" s="30"/>
    </row>
    <row r="130" spans="2:10" ht="12.75">
      <c r="B130" s="30" t="s">
        <v>154</v>
      </c>
      <c r="C130" s="30">
        <f>Isolation!S$12</f>
        <v>1</v>
      </c>
      <c r="D130" s="30"/>
      <c r="E130" s="30" t="str">
        <f>IF((C132*C133*C134)=0,"0,3",C133)</f>
        <v>0,3</v>
      </c>
      <c r="F130" s="261"/>
      <c r="G130" s="30"/>
      <c r="H130" s="30" t="s">
        <v>155</v>
      </c>
      <c r="I130" s="30" t="b">
        <f>Isolation!T$59</f>
        <v>0</v>
      </c>
      <c r="J130" s="30"/>
    </row>
    <row r="131" spans="2:10" ht="12.75">
      <c r="B131" s="60" t="s">
        <v>0</v>
      </c>
      <c r="C131" s="30"/>
      <c r="D131" s="30"/>
      <c r="E131" s="30" t="str">
        <f>IF((C132*C133*C134)=0,"0,2",C134)</f>
        <v>0,2</v>
      </c>
      <c r="F131" s="261"/>
      <c r="G131" s="30"/>
      <c r="H131" s="30" t="s">
        <v>157</v>
      </c>
      <c r="I131" s="30" t="b">
        <f>Isolation!T$61</f>
        <v>0</v>
      </c>
      <c r="J131" s="30"/>
    </row>
    <row r="132" spans="2:10" ht="12.75">
      <c r="B132" s="61" t="s">
        <v>118</v>
      </c>
      <c r="C132" s="262">
        <f>IF((Dimensions!S$10)&gt;1,Dimensions!S$15,0)</f>
        <v>0</v>
      </c>
      <c r="D132" s="30" t="s">
        <v>119</v>
      </c>
      <c r="E132" s="30" t="s">
        <v>132</v>
      </c>
      <c r="F132" s="263">
        <f>IF(C129&gt;1,Surfaces!V77,0)</f>
        <v>0</v>
      </c>
      <c r="G132" s="30"/>
      <c r="H132" s="30" t="s">
        <v>159</v>
      </c>
      <c r="I132" s="30" t="b">
        <f>Isolation!T$63</f>
        <v>0</v>
      </c>
      <c r="J132" s="30"/>
    </row>
    <row r="133" spans="2:10" ht="12.75">
      <c r="B133" s="61" t="s">
        <v>120</v>
      </c>
      <c r="C133" s="262">
        <f>IF((Dimensions!S$10)&gt;1,Dimensions!S$17,0)</f>
        <v>0</v>
      </c>
      <c r="D133" s="30" t="s">
        <v>119</v>
      </c>
      <c r="E133" s="30" t="s">
        <v>161</v>
      </c>
      <c r="F133" s="264">
        <f>IF(C129&gt;1,Surfaces!V59,0)</f>
        <v>0</v>
      </c>
      <c r="G133" s="30"/>
      <c r="H133" s="30" t="s">
        <v>162</v>
      </c>
      <c r="I133" s="30" t="b">
        <f>Isolation!T$65</f>
        <v>0</v>
      </c>
      <c r="J133" s="30"/>
    </row>
    <row r="134" spans="2:10" ht="12.75">
      <c r="B134" s="61" t="s">
        <v>121</v>
      </c>
      <c r="C134" s="262">
        <f>IF((Dimensions!S$10)&gt;1,Dimensions!S$19,0)</f>
        <v>0</v>
      </c>
      <c r="D134" s="30" t="s">
        <v>119</v>
      </c>
      <c r="E134" s="30" t="s">
        <v>163</v>
      </c>
      <c r="F134" s="264">
        <f>IF(C129&gt;1,Surfaces!V81,0)</f>
        <v>0</v>
      </c>
      <c r="G134" s="30"/>
      <c r="H134" s="30" t="s">
        <v>164</v>
      </c>
      <c r="I134" s="30" t="b">
        <f>Isolation!T$67</f>
        <v>0</v>
      </c>
      <c r="J134" s="30"/>
    </row>
    <row r="135" spans="2:10" ht="12.75">
      <c r="B135" s="63"/>
      <c r="C135" s="30"/>
      <c r="D135" s="30"/>
      <c r="E135" s="30" t="s">
        <v>166</v>
      </c>
      <c r="F135" s="264">
        <f>IF(C129&gt;0,Surfaces!V79,0)</f>
        <v>0</v>
      </c>
      <c r="G135" s="30"/>
      <c r="H135" s="30" t="s">
        <v>52</v>
      </c>
      <c r="I135" s="30" t="b">
        <f>Isolation!T$57</f>
        <v>0</v>
      </c>
      <c r="J135" s="30"/>
    </row>
    <row r="136" spans="2:10" ht="12.75">
      <c r="B136" s="30" t="s">
        <v>88</v>
      </c>
      <c r="C136" s="257">
        <f>Surfaces!T77</f>
        <v>0</v>
      </c>
      <c r="D136" s="30" t="s">
        <v>80</v>
      </c>
      <c r="E136" s="30"/>
      <c r="F136" s="30"/>
      <c r="G136" s="30"/>
      <c r="H136" s="30"/>
      <c r="I136" s="30"/>
      <c r="J136" s="30"/>
    </row>
    <row r="137" spans="2:10" ht="12.75">
      <c r="B137" s="30" t="s">
        <v>169</v>
      </c>
      <c r="C137" s="257">
        <f>Surfaces!T66</f>
        <v>0</v>
      </c>
      <c r="D137" s="30" t="s">
        <v>119</v>
      </c>
      <c r="E137" t="s">
        <v>459</v>
      </c>
      <c r="F137" s="30"/>
      <c r="G137" s="109" t="e">
        <f>(G141+G143)/C141</f>
        <v>#DIV/0!</v>
      </c>
      <c r="H137" s="30"/>
      <c r="I137" s="109" t="e">
        <f>(I141+I143)/C141</f>
        <v>#DIV/0!</v>
      </c>
      <c r="J137" s="30"/>
    </row>
    <row r="138" spans="2:10" ht="12.75">
      <c r="B138" s="30" t="s">
        <v>171</v>
      </c>
      <c r="C138" s="252">
        <f>Isolation!S$13</f>
        <v>0</v>
      </c>
      <c r="D138" s="30"/>
      <c r="E138" s="30" t="s">
        <v>460</v>
      </c>
      <c r="F138" s="77"/>
      <c r="G138" s="109">
        <f>SUM(G141:G143)</f>
        <v>0</v>
      </c>
      <c r="H138" s="30"/>
      <c r="I138" s="109">
        <f>SUM(I141:I143)</f>
        <v>0</v>
      </c>
      <c r="J138" s="30"/>
    </row>
    <row r="139" spans="2:10" ht="12.75">
      <c r="B139" s="30"/>
      <c r="C139" s="249"/>
      <c r="D139" s="30"/>
      <c r="E139" s="30"/>
      <c r="F139" s="456" t="s">
        <v>173</v>
      </c>
      <c r="G139" s="456"/>
      <c r="H139" s="456" t="s">
        <v>174</v>
      </c>
      <c r="I139" s="456"/>
      <c r="J139" s="30"/>
    </row>
    <row r="140" spans="2:10" ht="12.75">
      <c r="B140" s="30"/>
      <c r="C140" s="64"/>
      <c r="D140" s="30"/>
      <c r="E140" s="67" t="s">
        <v>176</v>
      </c>
      <c r="F140" s="61"/>
      <c r="G140" s="69" t="s">
        <v>177</v>
      </c>
      <c r="H140" s="61"/>
      <c r="I140" s="69" t="s">
        <v>177</v>
      </c>
      <c r="J140" s="30"/>
    </row>
    <row r="141" spans="2:10" ht="12.75">
      <c r="B141" s="30" t="s">
        <v>178</v>
      </c>
      <c r="C141" s="265">
        <f>Surfaces!T59</f>
        <v>0</v>
      </c>
      <c r="D141" s="30" t="s">
        <v>80</v>
      </c>
      <c r="E141" s="30" t="s">
        <v>179</v>
      </c>
      <c r="F141" s="251">
        <f>$F$4</f>
        <v>205</v>
      </c>
      <c r="G141" s="73">
        <f>F141*$C141</f>
        <v>0</v>
      </c>
      <c r="H141" s="251">
        <f>$G$4</f>
        <v>250</v>
      </c>
      <c r="I141" s="73">
        <f>H141*$C141</f>
        <v>0</v>
      </c>
      <c r="J141" s="30"/>
    </row>
    <row r="142" spans="2:10" ht="12.75">
      <c r="B142" s="30" t="s">
        <v>180</v>
      </c>
      <c r="C142" s="265">
        <f>Surfaces!V72</f>
        <v>0</v>
      </c>
      <c r="D142" s="30" t="s">
        <v>119</v>
      </c>
      <c r="E142" t="s">
        <v>539</v>
      </c>
      <c r="F142" s="251">
        <f>C144+C145</f>
        <v>0</v>
      </c>
      <c r="G142" s="73">
        <f>F142*($F132+$F133)</f>
        <v>0</v>
      </c>
      <c r="H142" s="251">
        <f>C144+C145</f>
        <v>0</v>
      </c>
      <c r="I142" s="73">
        <f>H142*($F132+$F133)</f>
        <v>0</v>
      </c>
      <c r="J142" s="396"/>
    </row>
    <row r="143" spans="5:10" ht="12.75">
      <c r="E143" s="30" t="s">
        <v>181</v>
      </c>
      <c r="F143" s="251">
        <f>$F$5</f>
        <v>60</v>
      </c>
      <c r="G143" s="266">
        <f>F143*C138*C142</f>
        <v>0</v>
      </c>
      <c r="H143" s="251">
        <f>$G$5</f>
        <v>80</v>
      </c>
      <c r="I143" s="266">
        <f>H143*C138*C142</f>
        <v>0</v>
      </c>
      <c r="J143" s="30"/>
    </row>
    <row r="144" spans="2:10" ht="12.75">
      <c r="B144" s="30" t="s">
        <v>464</v>
      </c>
      <c r="C144" s="48">
        <f>IF(Isolation!T$28=TRUE,$F$9,0)</f>
        <v>0</v>
      </c>
      <c r="D144" s="30"/>
      <c r="E144" s="30" t="s">
        <v>182</v>
      </c>
      <c r="F144" s="251">
        <f>$F$6</f>
        <v>150</v>
      </c>
      <c r="G144" s="73">
        <f>IF(C130&gt;1,C136*F145,C136*F144)</f>
        <v>0</v>
      </c>
      <c r="H144" s="251">
        <f>$G$6</f>
        <v>180</v>
      </c>
      <c r="I144" s="73">
        <f>IF(C130&gt;1,C136*H145,C136*H144)</f>
        <v>0</v>
      </c>
      <c r="J144" s="30"/>
    </row>
    <row r="145" spans="2:10" ht="12.75">
      <c r="B145" s="30" t="s">
        <v>535</v>
      </c>
      <c r="C145" s="48">
        <f>IF(Isolation!T$30=TRUE,$F$10,0)</f>
        <v>0</v>
      </c>
      <c r="D145" s="30"/>
      <c r="E145" s="30" t="s">
        <v>184</v>
      </c>
      <c r="F145" s="251">
        <f>$F$7</f>
        <v>250</v>
      </c>
      <c r="G145" s="73"/>
      <c r="H145" s="251">
        <f>$G$7</f>
        <v>250</v>
      </c>
      <c r="I145" s="73"/>
      <c r="J145" s="30"/>
    </row>
    <row r="146" spans="2:10" ht="12.75">
      <c r="B146" s="30"/>
      <c r="C146" s="30"/>
      <c r="D146" s="30" t="s">
        <v>185</v>
      </c>
      <c r="E146" s="30" t="s">
        <v>186</v>
      </c>
      <c r="F146" s="251">
        <f>$F$8</f>
        <v>205</v>
      </c>
      <c r="G146" s="73">
        <f>C136*F146</f>
        <v>0</v>
      </c>
      <c r="H146" s="251">
        <f>$G$8</f>
        <v>250</v>
      </c>
      <c r="I146" s="73">
        <f>C136*H146</f>
        <v>0</v>
      </c>
      <c r="J146" s="30"/>
    </row>
    <row r="147" spans="2:10" ht="12.75">
      <c r="B147" s="30"/>
      <c r="C147" s="73"/>
      <c r="D147" s="30"/>
      <c r="E147" s="30"/>
      <c r="F147" s="251"/>
      <c r="G147" s="64"/>
      <c r="H147" s="251"/>
      <c r="I147" s="64"/>
      <c r="J147" s="30"/>
    </row>
    <row r="148" spans="2:10" ht="12.75">
      <c r="B148" s="30" t="s">
        <v>53</v>
      </c>
      <c r="C148" s="252">
        <f>Isolation!S$15</f>
        <v>0</v>
      </c>
      <c r="D148" s="30"/>
      <c r="E148" s="30" t="s">
        <v>123</v>
      </c>
      <c r="F148" s="251">
        <f>$F$11</f>
        <v>1700</v>
      </c>
      <c r="G148" s="73">
        <f>F148*$C148</f>
        <v>0</v>
      </c>
      <c r="H148" s="251">
        <f>$G$11</f>
        <v>1900</v>
      </c>
      <c r="I148" s="73">
        <f>H148*$C148</f>
        <v>0</v>
      </c>
      <c r="J148" s="30"/>
    </row>
    <row r="149" spans="2:10" ht="12.75">
      <c r="B149" s="30" t="s">
        <v>188</v>
      </c>
      <c r="C149" s="252">
        <f>Isolation!S$17</f>
        <v>0</v>
      </c>
      <c r="D149" s="30"/>
      <c r="E149" s="30" t="s">
        <v>189</v>
      </c>
      <c r="F149" s="251">
        <f>$F$12</f>
        <v>900</v>
      </c>
      <c r="G149" s="73">
        <f>F149*$C149</f>
        <v>0</v>
      </c>
      <c r="H149" s="251">
        <f>$G$12</f>
        <v>900</v>
      </c>
      <c r="I149" s="73">
        <f>H149*$C149</f>
        <v>0</v>
      </c>
      <c r="J149" s="30"/>
    </row>
    <row r="150" spans="2:10" ht="12.75">
      <c r="B150" s="30" t="s">
        <v>191</v>
      </c>
      <c r="C150" s="252">
        <f>Isolation!S$19</f>
        <v>0</v>
      </c>
      <c r="D150" s="30" t="s">
        <v>119</v>
      </c>
      <c r="E150" s="30" t="s">
        <v>192</v>
      </c>
      <c r="F150" s="251">
        <f>$F$13</f>
        <v>170</v>
      </c>
      <c r="G150" s="73">
        <f>F150*$C150</f>
        <v>0</v>
      </c>
      <c r="H150" s="251">
        <f>$G$13</f>
        <v>180</v>
      </c>
      <c r="I150" s="73">
        <f>H150*$C150</f>
        <v>0</v>
      </c>
      <c r="J150" s="30"/>
    </row>
    <row r="151" spans="2:10" ht="12.75">
      <c r="B151" s="30" t="s">
        <v>194</v>
      </c>
      <c r="C151" s="252">
        <f>Isolation!S$21</f>
        <v>0</v>
      </c>
      <c r="D151" s="30" t="s">
        <v>119</v>
      </c>
      <c r="E151" s="30" t="s">
        <v>195</v>
      </c>
      <c r="F151" s="251">
        <f>$F$14</f>
        <v>200</v>
      </c>
      <c r="G151" s="73">
        <f>F151*$C151</f>
        <v>0</v>
      </c>
      <c r="H151" s="251">
        <f>$G$14</f>
        <v>240</v>
      </c>
      <c r="I151" s="73">
        <f>H151*$C151</f>
        <v>0</v>
      </c>
      <c r="J151" s="30"/>
    </row>
    <row r="152" spans="2:10" ht="12.75">
      <c r="B152" s="30" t="s">
        <v>127</v>
      </c>
      <c r="C152" s="252">
        <f>Isolation!S$23*C133</f>
        <v>0</v>
      </c>
      <c r="D152" s="30" t="s">
        <v>80</v>
      </c>
      <c r="E152" s="30" t="s">
        <v>197</v>
      </c>
      <c r="F152" s="251">
        <f>$F$15</f>
        <v>140</v>
      </c>
      <c r="G152" s="73">
        <f>F152*$C152</f>
        <v>0</v>
      </c>
      <c r="H152" s="251">
        <f>$G$15</f>
        <v>140</v>
      </c>
      <c r="I152" s="73">
        <f>H152*$C152</f>
        <v>0</v>
      </c>
      <c r="J152" s="30"/>
    </row>
    <row r="153" spans="2:10" ht="12.75">
      <c r="B153" s="61" t="s">
        <v>198</v>
      </c>
      <c r="C153" s="253">
        <f>IF(I128=TRUE,(C136*2),0)</f>
        <v>0</v>
      </c>
      <c r="D153" s="30" t="s">
        <v>119</v>
      </c>
      <c r="E153" s="30" t="s">
        <v>199</v>
      </c>
      <c r="F153" s="251">
        <f>$F$16</f>
        <v>10</v>
      </c>
      <c r="G153" s="73">
        <f>C153*F153</f>
        <v>0</v>
      </c>
      <c r="H153" s="251">
        <f>$G$16</f>
        <v>10</v>
      </c>
      <c r="I153" s="73">
        <f>J153*H153</f>
        <v>0</v>
      </c>
      <c r="J153" s="74">
        <f>IF(I128=TRUE,(C136*2),0)</f>
        <v>0</v>
      </c>
    </row>
    <row r="154" spans="2:10" ht="12.75">
      <c r="B154" s="30"/>
      <c r="C154" s="249"/>
      <c r="D154" s="30"/>
      <c r="E154" s="30"/>
      <c r="F154" s="251"/>
      <c r="G154" s="73"/>
      <c r="H154" s="251"/>
      <c r="I154" s="73"/>
      <c r="J154" s="30"/>
    </row>
    <row r="155" spans="2:10" ht="12.75">
      <c r="B155" s="30" t="s">
        <v>200</v>
      </c>
      <c r="C155" s="249"/>
      <c r="D155" s="30"/>
      <c r="E155" s="30"/>
      <c r="F155" s="251"/>
      <c r="G155" s="74" t="str">
        <f>IF(C129&gt;1,SUM(G141:G153),"0,00")</f>
        <v>0,00</v>
      </c>
      <c r="H155" s="251"/>
      <c r="I155" s="74" t="str">
        <f>IF(C129&gt;1,SUM(I141:I153),"0,00")</f>
        <v>0,00</v>
      </c>
      <c r="J155" s="30"/>
    </row>
    <row r="156" spans="2:10" ht="12.75">
      <c r="B156" s="30"/>
      <c r="C156" s="249"/>
      <c r="D156" s="30"/>
      <c r="E156" s="75" t="s">
        <v>201</v>
      </c>
      <c r="F156" s="75" t="str">
        <f>IF(C129&gt;2,I155,G155)</f>
        <v>0,00</v>
      </c>
      <c r="H156" s="77" t="s">
        <v>202</v>
      </c>
      <c r="I156" s="64">
        <f>IF(C129&gt;2,(I155*1.15),(G155*1.15))</f>
        <v>0</v>
      </c>
      <c r="J156" s="30"/>
    </row>
    <row r="157" spans="2:10" ht="12.75">
      <c r="B157" s="63" t="s">
        <v>203</v>
      </c>
      <c r="C157" s="73"/>
      <c r="D157" s="30"/>
      <c r="E157" s="30"/>
      <c r="F157" s="251"/>
      <c r="G157" s="64"/>
      <c r="H157" s="251"/>
      <c r="I157" s="64"/>
      <c r="J157" s="30"/>
    </row>
    <row r="158" spans="2:10" ht="12.75">
      <c r="B158" s="30" t="s">
        <v>204</v>
      </c>
      <c r="C158" s="253">
        <f>IF(I129=TRUE,F133,0)</f>
        <v>0</v>
      </c>
      <c r="D158" s="30" t="s">
        <v>80</v>
      </c>
      <c r="E158" s="30" t="s">
        <v>153</v>
      </c>
      <c r="F158" s="251">
        <f>$F$18</f>
        <v>60</v>
      </c>
      <c r="G158" s="73">
        <f>F158*$C158</f>
        <v>0</v>
      </c>
      <c r="H158" s="251">
        <f>$G$18</f>
        <v>60</v>
      </c>
      <c r="I158" s="73">
        <f>H158*$C158</f>
        <v>0</v>
      </c>
      <c r="J158" s="74">
        <f>IF(I129=TRUE,F133,0)</f>
        <v>0</v>
      </c>
    </row>
    <row r="159" spans="2:10" ht="12.75">
      <c r="B159" s="30" t="s">
        <v>52</v>
      </c>
      <c r="C159" s="253">
        <f>IF(I135=TRUE,F132,0)</f>
        <v>0</v>
      </c>
      <c r="D159" s="30" t="s">
        <v>80</v>
      </c>
      <c r="E159" s="76" t="s">
        <v>52</v>
      </c>
      <c r="F159" s="251">
        <f>$F$19</f>
        <v>85</v>
      </c>
      <c r="G159" s="73">
        <f>F159*$C159</f>
        <v>0</v>
      </c>
      <c r="H159" s="251">
        <f>$G$19</f>
        <v>89</v>
      </c>
      <c r="I159" s="73">
        <f>H159*$C159</f>
        <v>0</v>
      </c>
      <c r="J159" s="74">
        <f>IF(I135=TRUE,F132,0)</f>
        <v>0</v>
      </c>
    </row>
    <row r="160" spans="2:10" ht="12.75">
      <c r="B160" s="30" t="s">
        <v>142</v>
      </c>
      <c r="C160" s="253">
        <f>IF(I130=TRUE,F132,0)</f>
        <v>0</v>
      </c>
      <c r="D160" s="30" t="s">
        <v>80</v>
      </c>
      <c r="E160" s="30" t="s">
        <v>155</v>
      </c>
      <c r="F160" s="251">
        <f>$F$20</f>
        <v>89</v>
      </c>
      <c r="G160" s="73">
        <f>F160*$C160</f>
        <v>0</v>
      </c>
      <c r="H160" s="251">
        <f>$G$20</f>
        <v>85</v>
      </c>
      <c r="I160" s="73">
        <f>H160*$C160</f>
        <v>0</v>
      </c>
      <c r="J160" s="74">
        <f>IF(I130=TRUE,F132,0)</f>
        <v>0</v>
      </c>
    </row>
    <row r="161" spans="2:10" ht="12.75">
      <c r="B161" s="30" t="s">
        <v>207</v>
      </c>
      <c r="C161" s="253">
        <f>IF(I131=TRUE,(C136*1.6),0)</f>
        <v>0</v>
      </c>
      <c r="D161" s="30"/>
      <c r="E161" s="30" t="s">
        <v>208</v>
      </c>
      <c r="F161" s="251">
        <f>$F$21</f>
        <v>60</v>
      </c>
      <c r="G161" s="73">
        <f>F161*$C161</f>
        <v>0</v>
      </c>
      <c r="H161" s="251">
        <f>$G$21</f>
        <v>60</v>
      </c>
      <c r="I161" s="73">
        <f>H161*$C161</f>
        <v>0</v>
      </c>
      <c r="J161" s="74">
        <f>IF(I131=TRUE,(C136*1.6),0)</f>
        <v>0</v>
      </c>
    </row>
    <row r="162" spans="2:10" ht="12.75">
      <c r="B162" s="30" t="s">
        <v>159</v>
      </c>
      <c r="C162" s="253">
        <f>IF(I132=TRUE,(C136/5),0)</f>
        <v>0</v>
      </c>
      <c r="D162" s="30" t="s">
        <v>119</v>
      </c>
      <c r="E162" s="30" t="s">
        <v>210</v>
      </c>
      <c r="F162" s="251">
        <f>$F$22</f>
        <v>50</v>
      </c>
      <c r="G162" s="73">
        <f>F162*$C162</f>
        <v>0</v>
      </c>
      <c r="H162" s="251">
        <f>$G$22</f>
        <v>50</v>
      </c>
      <c r="I162" s="73">
        <f>H162*$C162</f>
        <v>0</v>
      </c>
      <c r="J162" s="74">
        <f>IF(I132=TRUE,(C136/5),0)</f>
        <v>0</v>
      </c>
    </row>
    <row r="163" spans="2:10" ht="12.75">
      <c r="B163" s="30" t="s">
        <v>211</v>
      </c>
      <c r="C163" s="253">
        <f>IF(I133=TRUE,(C136*1.2),0)</f>
        <v>0</v>
      </c>
      <c r="D163" s="30" t="s">
        <v>119</v>
      </c>
      <c r="E163" s="30" t="s">
        <v>212</v>
      </c>
      <c r="F163" s="251">
        <f>$F$23</f>
        <v>60</v>
      </c>
      <c r="G163" s="74">
        <f>IF((I133=TRUE),200+(F163*C163),0)</f>
        <v>0</v>
      </c>
      <c r="H163" s="251">
        <f>$G$23</f>
        <v>60</v>
      </c>
      <c r="I163" s="74">
        <f>IF((I133=TRUE),200+(J163*H163),0)</f>
        <v>0</v>
      </c>
      <c r="J163" s="74">
        <f>IF(I133=TRUE,(C136*1.2),0)</f>
        <v>0</v>
      </c>
    </row>
    <row r="164" spans="2:10" ht="12.75">
      <c r="B164" s="30" t="s">
        <v>213</v>
      </c>
      <c r="C164" s="253">
        <f>IF(I134=TRUE,(C136*1.2),0)</f>
        <v>0</v>
      </c>
      <c r="D164" s="30" t="s">
        <v>119</v>
      </c>
      <c r="E164" s="30" t="s">
        <v>214</v>
      </c>
      <c r="F164" s="251">
        <f>$F$24</f>
        <v>65</v>
      </c>
      <c r="G164" s="74">
        <f>IF((I134=TRUE),500+(F164*C164),0)</f>
        <v>0</v>
      </c>
      <c r="H164" s="251">
        <f>$G$24</f>
        <v>70</v>
      </c>
      <c r="I164" s="74">
        <f>IF((I134=TRUE),800+(J164*H164),0)</f>
        <v>0</v>
      </c>
      <c r="J164" s="74">
        <f>IF(I134=TRUE,(C136*1.2),0)</f>
        <v>0</v>
      </c>
    </row>
    <row r="165" spans="2:10" ht="12.75">
      <c r="B165" s="30"/>
      <c r="C165" s="30"/>
      <c r="D165" s="30"/>
      <c r="E165" s="30"/>
      <c r="F165" s="30"/>
      <c r="G165" s="30"/>
      <c r="H165" s="30"/>
      <c r="I165" s="30"/>
      <c r="J165" s="30"/>
    </row>
    <row r="166" spans="2:10" ht="12.75">
      <c r="B166" s="30"/>
      <c r="C166" s="30"/>
      <c r="D166" s="30"/>
      <c r="E166" s="30"/>
      <c r="F166" s="77" t="s">
        <v>215</v>
      </c>
      <c r="G166" s="75" t="str">
        <f>IF(C129&gt;1,SUM(G158:G164),"0,00")</f>
        <v>0,00</v>
      </c>
      <c r="H166" s="77" t="s">
        <v>215</v>
      </c>
      <c r="I166" s="75" t="str">
        <f>IF(C129&gt;1,SUM(I158:I164),"0,00")</f>
        <v>0,00</v>
      </c>
      <c r="J166" s="30"/>
    </row>
    <row r="167" spans="2:10" ht="12.75">
      <c r="B167" s="30"/>
      <c r="C167" s="74">
        <f>IF(I133=TRUE,"15",0)</f>
        <v>0</v>
      </c>
      <c r="D167" s="30"/>
      <c r="E167" s="30"/>
      <c r="F167" s="108"/>
      <c r="G167" s="30"/>
      <c r="H167" s="30"/>
      <c r="I167" s="30"/>
      <c r="J167" s="30"/>
    </row>
    <row r="168" spans="2:10" ht="12.75">
      <c r="B168" s="30"/>
      <c r="C168" s="74">
        <f>IF(I134=TRUE,"15",0)</f>
        <v>0</v>
      </c>
      <c r="D168" s="30"/>
      <c r="E168" s="30" t="s">
        <v>394</v>
      </c>
      <c r="F168" s="75" t="s">
        <v>201</v>
      </c>
      <c r="G168" s="75" t="str">
        <f>IF(C129&gt;2,I166,G166)</f>
        <v>0,00</v>
      </c>
      <c r="H168" s="77" t="s">
        <v>202</v>
      </c>
      <c r="I168" s="64">
        <f>IF(C129&gt;2,(I166*1.15),(G166*1.15))</f>
        <v>0</v>
      </c>
      <c r="J168" s="30"/>
    </row>
    <row r="169" spans="2:10" ht="12.75">
      <c r="B169" s="30" t="s">
        <v>221</v>
      </c>
      <c r="C169" s="30"/>
      <c r="D169" s="30"/>
      <c r="E169" s="30"/>
      <c r="F169" s="30"/>
      <c r="G169" s="30"/>
      <c r="H169" s="30"/>
      <c r="I169" s="30"/>
      <c r="J169" s="30"/>
    </row>
  </sheetData>
  <sheetProtection/>
  <mergeCells count="6">
    <mergeCell ref="F139:G139"/>
    <mergeCell ref="H139:I139"/>
    <mergeCell ref="F48:G48"/>
    <mergeCell ref="H48:I48"/>
    <mergeCell ref="F97:G97"/>
    <mergeCell ref="H97:I97"/>
  </mergeCells>
  <conditionalFormatting sqref="F35:F36 G54 I54 G75:G77 I69 I145 G157 I163:I165 G112:G113 I75:I77 I121:I123 G103 I103 G115 G145 G69 G63:G64 G121:G123 I115 G163:G165 G154:G155 G105 I105 G56 I56 G147 I147 I63:I64 I112:I113 I154:I155 I157">
    <cfRule type="cellIs" priority="1" dxfId="3" operator="equal" stopIfTrue="1">
      <formula>0</formula>
    </cfRule>
  </conditionalFormatting>
  <conditionalFormatting sqref="G100 G51 I51 I100 G142 I142">
    <cfRule type="cellIs" priority="2" dxfId="2" operator="equal" stopIfTrue="1">
      <formula>0</formula>
    </cfRule>
  </conditionalFormatting>
  <conditionalFormatting sqref="I128:I135">
    <cfRule type="cellIs" priority="3" dxfId="1" operator="equal" stopIfTrue="1">
      <formula>TRUE</formula>
    </cfRule>
  </conditionalFormatting>
  <conditionalFormatting sqref="I86:I93 I37:I44">
    <cfRule type="cellIs" priority="4" dxfId="0" operator="equal" stopIfTrue="1">
      <formula>TRUE</formula>
    </cfRule>
  </conditionalFormatting>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9"/>
  <dimension ref="A2:L67"/>
  <sheetViews>
    <sheetView zoomScalePageLayoutView="0" workbookViewId="0" topLeftCell="A40">
      <selection activeCell="G26" sqref="G26"/>
    </sheetView>
  </sheetViews>
  <sheetFormatPr defaultColWidth="11.421875" defaultRowHeight="12.75"/>
  <cols>
    <col min="5" max="5" width="9.7109375" style="0" customWidth="1"/>
    <col min="6" max="6" width="2.7109375" style="0" customWidth="1"/>
    <col min="7" max="7" width="12.7109375" style="0" customWidth="1"/>
    <col min="8" max="11" width="8.7109375" style="0" customWidth="1"/>
  </cols>
  <sheetData>
    <row r="1" ht="13.5" thickBot="1"/>
    <row r="2" spans="2:4" ht="12.75">
      <c r="B2" s="88" t="s">
        <v>72</v>
      </c>
      <c r="C2" s="89" t="s">
        <v>73</v>
      </c>
      <c r="D2" s="90" t="s">
        <v>74</v>
      </c>
    </row>
    <row r="3" spans="2:4" ht="12.75">
      <c r="B3" s="91"/>
      <c r="C3" s="86"/>
      <c r="D3" s="92"/>
    </row>
    <row r="4" spans="1:4" ht="12.75">
      <c r="A4" t="s">
        <v>253</v>
      </c>
      <c r="B4" s="93">
        <f>Dimensions!G10</f>
        <v>1</v>
      </c>
      <c r="C4" s="87">
        <f>Dimensions!M10</f>
        <v>1</v>
      </c>
      <c r="D4" s="94">
        <f>Dimensions!S10</f>
        <v>1</v>
      </c>
    </row>
    <row r="5" spans="1:9" ht="12.75">
      <c r="A5" s="86"/>
      <c r="B5" s="93" t="str">
        <f>IF(B$4=1,"Aucune","")</f>
        <v>Aucune</v>
      </c>
      <c r="C5" s="87" t="str">
        <f>IF(C$4=1,"Aucune","")</f>
        <v>Aucune</v>
      </c>
      <c r="D5" s="94" t="str">
        <f>IF(D$4=1,"Aucune","")</f>
        <v>Aucune</v>
      </c>
      <c r="G5" s="29" t="s">
        <v>260</v>
      </c>
      <c r="H5" s="126">
        <v>1.3</v>
      </c>
      <c r="I5" t="s">
        <v>487</v>
      </c>
    </row>
    <row r="6" spans="1:4" ht="12.75">
      <c r="A6" s="86"/>
      <c r="B6" s="93">
        <f>IF(B$4=2,"Hi-fi","")</f>
      </c>
      <c r="C6" s="87">
        <f>IF(C$4=2,"Hi-fi","")</f>
      </c>
      <c r="D6" s="94">
        <f>IF(D$4=2,"Hi-fi","")</f>
      </c>
    </row>
    <row r="7" spans="1:11" ht="12.75">
      <c r="A7" s="86"/>
      <c r="B7" s="93">
        <f>IF(B$4=3,"Cinéma","")</f>
      </c>
      <c r="C7" s="87">
        <f>IF(C$4=3,"Cinéma","")</f>
      </c>
      <c r="D7" s="94">
        <f>IF(D$4=3,"Cinéma","")</f>
      </c>
      <c r="H7">
        <v>2</v>
      </c>
      <c r="I7">
        <v>3</v>
      </c>
      <c r="J7">
        <v>4</v>
      </c>
      <c r="K7">
        <v>5</v>
      </c>
    </row>
    <row r="8" spans="1:11" ht="12.75">
      <c r="A8" s="86"/>
      <c r="B8" s="93">
        <f>IF(B$4=4,"Régie","")</f>
      </c>
      <c r="C8" s="87">
        <f>IF(C$4=4,"Régie","")</f>
      </c>
      <c r="D8" s="94">
        <f>IF(D$4=4,"Régie","")</f>
      </c>
      <c r="G8" t="s">
        <v>245</v>
      </c>
      <c r="H8" s="84" t="s">
        <v>236</v>
      </c>
      <c r="I8" s="84" t="s">
        <v>239</v>
      </c>
      <c r="J8" s="84" t="s">
        <v>237</v>
      </c>
      <c r="K8" s="84" t="s">
        <v>238</v>
      </c>
    </row>
    <row r="9" spans="1:4" ht="12.75">
      <c r="A9" s="86"/>
      <c r="B9" s="93">
        <f>IF(B$4=5,"Studio","")</f>
      </c>
      <c r="C9" s="87">
        <f>IF(C$4=5,"Studio","")</f>
      </c>
      <c r="D9" s="94">
        <f>IF(D$4=5,"Studio","")</f>
      </c>
    </row>
    <row r="10" spans="1:12" ht="13.5" thickBot="1">
      <c r="A10" s="86" t="s">
        <v>261</v>
      </c>
      <c r="B10" s="95" t="str">
        <f>CONCATENATE(B5,B6,B7,B8,B9)</f>
        <v>Aucune</v>
      </c>
      <c r="C10" s="96" t="str">
        <f>CONCATENATE(C5,C6,C7,C8,C9)</f>
        <v>Aucune</v>
      </c>
      <c r="D10" s="97" t="str">
        <f>CONCATENATE(D5,D6,D7,D8,D9)</f>
        <v>Aucune</v>
      </c>
      <c r="G10" s="124" t="s">
        <v>246</v>
      </c>
      <c r="H10" s="127">
        <v>100</v>
      </c>
      <c r="I10" s="127">
        <v>300</v>
      </c>
      <c r="J10" s="127">
        <v>360</v>
      </c>
      <c r="K10" s="127">
        <v>400</v>
      </c>
      <c r="L10" s="103" t="s">
        <v>488</v>
      </c>
    </row>
    <row r="11" spans="1:7" ht="12.75">
      <c r="A11" s="86"/>
      <c r="B11" s="86"/>
      <c r="C11" s="86"/>
      <c r="D11" s="86"/>
      <c r="G11" s="125" t="s">
        <v>259</v>
      </c>
    </row>
    <row r="12" spans="1:5" ht="12.75">
      <c r="A12" s="86" t="s">
        <v>291</v>
      </c>
      <c r="B12" s="86">
        <f>IF(AND(Correction!H34=TRUE,Correction!G10&lt;5),H5,1)</f>
        <v>1</v>
      </c>
      <c r="C12" s="86">
        <f>IF(AND(Correction!N34=TRUE,Correction!M10&lt;5),H5,1)</f>
        <v>1</v>
      </c>
      <c r="D12" s="86">
        <f>IF(AND(Correction!T34=TRUE,Correction!S10&lt;5),H5,1)</f>
        <v>1</v>
      </c>
      <c r="E12" s="48"/>
    </row>
    <row r="13" spans="1:11" ht="12.75">
      <c r="A13" s="86" t="s">
        <v>241</v>
      </c>
      <c r="B13" s="102">
        <f>Calc_iso!$F41</f>
        <v>0</v>
      </c>
      <c r="C13" s="102">
        <f>Calc_iso!$F90</f>
        <v>0</v>
      </c>
      <c r="D13" s="102">
        <f>Calc_iso!$F132</f>
        <v>0</v>
      </c>
      <c r="E13" s="48"/>
      <c r="G13" t="s">
        <v>85</v>
      </c>
      <c r="H13">
        <f>H$10*0.3</f>
        <v>30</v>
      </c>
      <c r="I13">
        <f>I$10*0.35</f>
        <v>105</v>
      </c>
      <c r="J13">
        <f>J$10*0.5</f>
        <v>180</v>
      </c>
      <c r="K13">
        <f>K$10</f>
        <v>400</v>
      </c>
    </row>
    <row r="14" spans="1:11" ht="12.75">
      <c r="A14" s="86" t="s">
        <v>242</v>
      </c>
      <c r="B14" s="102">
        <f>Calc_iso!F42*B12</f>
        <v>0</v>
      </c>
      <c r="C14" s="102">
        <f>Calc_iso!F91*C12</f>
        <v>0</v>
      </c>
      <c r="D14" s="102">
        <f>Calc_iso!F133*D12</f>
        <v>0</v>
      </c>
      <c r="E14" s="48"/>
      <c r="G14" t="s">
        <v>86</v>
      </c>
      <c r="H14">
        <f>H$10*0.4</f>
        <v>40</v>
      </c>
      <c r="I14">
        <f>I$10*0.5</f>
        <v>150</v>
      </c>
      <c r="J14">
        <f>J$10*0.7</f>
        <v>251.99999999999997</v>
      </c>
      <c r="K14">
        <f>K$10</f>
        <v>400</v>
      </c>
    </row>
    <row r="15" spans="1:11" ht="12.75">
      <c r="A15" s="86" t="s">
        <v>243</v>
      </c>
      <c r="B15" s="102">
        <f>Calc_iso!$F44</f>
        <v>0</v>
      </c>
      <c r="C15" s="102">
        <f>Calc_iso!$F93</f>
        <v>0</v>
      </c>
      <c r="D15" s="102">
        <f>Calc_iso!$F135</f>
        <v>0</v>
      </c>
      <c r="E15" s="48"/>
      <c r="G15" t="s">
        <v>83</v>
      </c>
      <c r="H15">
        <f>H$10*0.35</f>
        <v>35</v>
      </c>
      <c r="I15">
        <f>I$10*0.35</f>
        <v>105</v>
      </c>
      <c r="J15">
        <f>J$10*0.5</f>
        <v>180</v>
      </c>
      <c r="K15">
        <f>K$10</f>
        <v>400</v>
      </c>
    </row>
    <row r="16" spans="1:11" ht="12.75">
      <c r="A16" s="105" t="s">
        <v>247</v>
      </c>
      <c r="B16" s="48">
        <f>SUM(B13:B14)</f>
        <v>0</v>
      </c>
      <c r="C16" s="48">
        <f>SUM(C13:C14)</f>
        <v>0</v>
      </c>
      <c r="D16" s="48">
        <f>SUM(D13:D14)</f>
        <v>0</v>
      </c>
      <c r="E16" s="48"/>
      <c r="G16" t="s">
        <v>84</v>
      </c>
      <c r="H16">
        <f>H$10*0.3</f>
        <v>30</v>
      </c>
      <c r="I16">
        <f>I$10*0.3</f>
        <v>90</v>
      </c>
      <c r="J16">
        <f>J$10*0.4</f>
        <v>144</v>
      </c>
      <c r="K16">
        <f>K$10</f>
        <v>400</v>
      </c>
    </row>
    <row r="17" spans="2:5" ht="12.75">
      <c r="B17">
        <f>IF(Correction!G10&gt;2,1,0)</f>
        <v>0</v>
      </c>
      <c r="C17">
        <f>IF(Correction!M10&gt;2,1,0)</f>
        <v>0</v>
      </c>
      <c r="D17">
        <f>IF(Correction!S10&gt;2,1,0)</f>
        <v>0</v>
      </c>
      <c r="E17" s="48"/>
    </row>
    <row r="18" spans="1:9" ht="12.75">
      <c r="A18" s="290" t="s">
        <v>52</v>
      </c>
      <c r="B18" s="291">
        <f>IF(AND(B4&gt;1,Correction!H30=TRUE),B13*H18,0)*B17</f>
        <v>0</v>
      </c>
      <c r="C18" s="291">
        <f>IF(AND(C4&gt;1,Correction!N30=TRUE),C13*H18,0)*C17</f>
        <v>0</v>
      </c>
      <c r="D18" s="291">
        <f>IF(AND(D4&gt;1,Correction!T30=TRUE),D13*H18,0)*D17</f>
        <v>0</v>
      </c>
      <c r="E18" s="289">
        <f>SUM(B18:D18)</f>
        <v>0</v>
      </c>
      <c r="F18" s="106"/>
      <c r="G18" s="29" t="s">
        <v>248</v>
      </c>
      <c r="H18" s="127">
        <v>85</v>
      </c>
      <c r="I18" t="s">
        <v>263</v>
      </c>
    </row>
    <row r="19" spans="2:6" ht="12.75">
      <c r="B19" s="107"/>
      <c r="C19" s="107"/>
      <c r="D19" s="107"/>
      <c r="E19" s="49"/>
      <c r="F19" s="106"/>
    </row>
    <row r="20" spans="1:6" ht="12.75">
      <c r="A20" t="s">
        <v>255</v>
      </c>
      <c r="B20" s="107">
        <f>Correction!G10</f>
        <v>1</v>
      </c>
      <c r="C20" s="107">
        <f>Correction!M10</f>
        <v>1</v>
      </c>
      <c r="D20" s="107">
        <f>Correction!S10</f>
        <v>1</v>
      </c>
      <c r="E20" s="49"/>
      <c r="F20" s="106"/>
    </row>
    <row r="21" spans="1:6" ht="12.75">
      <c r="A21" t="s">
        <v>258</v>
      </c>
      <c r="B21" s="296">
        <f>Surfaces!H53</f>
        <v>0</v>
      </c>
      <c r="C21" s="296">
        <f>Surfaces!O53</f>
        <v>0</v>
      </c>
      <c r="D21" s="296">
        <f>Surfaces!V53</f>
        <v>0</v>
      </c>
      <c r="E21" s="49"/>
      <c r="F21" s="106"/>
    </row>
    <row r="22" spans="1:6" ht="12.75">
      <c r="A22" t="s">
        <v>239</v>
      </c>
      <c r="B22" s="123">
        <f>IF(B$20=3,250+B$21*300,"")</f>
      </c>
      <c r="C22" s="123">
        <f>IF(C$20=3,250+C$21*300,"")</f>
      </c>
      <c r="D22" s="123">
        <f>IF(D$20=3,250+D$21*300,"")</f>
      </c>
      <c r="E22" s="49"/>
      <c r="F22" s="106"/>
    </row>
    <row r="23" spans="1:7" ht="12.75">
      <c r="A23" t="s">
        <v>237</v>
      </c>
      <c r="B23" s="123">
        <f>IF(B$20=4,250+B$21*300,"")</f>
      </c>
      <c r="C23" s="123">
        <f>IF(C$20=4,250+C$21*300,"")</f>
      </c>
      <c r="D23" s="123">
        <f>IF(D$20=4,250+D$21*300,"")</f>
      </c>
      <c r="E23" s="49"/>
      <c r="F23" s="106"/>
      <c r="G23" t="s">
        <v>479</v>
      </c>
    </row>
    <row r="24" spans="2:7" ht="12.75">
      <c r="B24" s="107">
        <f>(IF(Dimensions!G10=5,0,SUM(B22:B23)))</f>
        <v>0</v>
      </c>
      <c r="C24" s="107">
        <f>(IF(Dimensions!M10=5,0,SUM(C22:C23)))</f>
        <v>0</v>
      </c>
      <c r="D24" s="107">
        <f>(IF(Dimensions!S10=5,0,SUM(D22:D23)))</f>
        <v>0</v>
      </c>
      <c r="E24" s="49"/>
      <c r="F24" s="106"/>
      <c r="G24" t="s">
        <v>480</v>
      </c>
    </row>
    <row r="25" spans="1:7" ht="12.75">
      <c r="A25" s="288" t="s">
        <v>257</v>
      </c>
      <c r="B25" s="291">
        <f>IF(Correction!H32=TRUE,B24,0)</f>
        <v>0</v>
      </c>
      <c r="C25" s="291">
        <f>IF(Correction!N32=TRUE,C24,0)</f>
        <v>0</v>
      </c>
      <c r="D25" s="291">
        <f>IF(Correction!T32=TRUE,D24,0)</f>
        <v>0</v>
      </c>
      <c r="E25" s="289">
        <f>SUM(B25:D25)</f>
        <v>0</v>
      </c>
      <c r="F25" s="106"/>
      <c r="G25" t="s">
        <v>481</v>
      </c>
    </row>
    <row r="26" ht="12.75">
      <c r="E26" s="48"/>
    </row>
    <row r="27" spans="1:5" ht="12.75">
      <c r="A27" s="301" t="s">
        <v>474</v>
      </c>
      <c r="B27" s="302"/>
      <c r="C27" s="302" t="s">
        <v>473</v>
      </c>
      <c r="D27" s="302"/>
      <c r="E27" s="303" t="s">
        <v>475</v>
      </c>
    </row>
    <row r="28" spans="1:7" ht="12.75">
      <c r="A28" t="s">
        <v>85</v>
      </c>
      <c r="B28" s="286">
        <f>IF(B$4=2,(B$13+B$14)*H13,"")</f>
      </c>
      <c r="C28" s="286">
        <f>IF(C$4=2,(C$13+C$14)*H13,"")</f>
      </c>
      <c r="D28" s="286">
        <f>IF(D$4=2,(D$13+D$14)*H13,"")</f>
      </c>
      <c r="E28" s="48"/>
      <c r="G28" t="s">
        <v>265</v>
      </c>
    </row>
    <row r="29" spans="1:7" ht="12.75">
      <c r="A29" t="s">
        <v>86</v>
      </c>
      <c r="B29" s="286">
        <f>IF(B$4=3,(B$13+B$14)*H14,"")</f>
      </c>
      <c r="C29" s="286">
        <f>IF(C$4=3,(C$13+C$14)*H14,"")</f>
      </c>
      <c r="D29" s="286">
        <f>IF(D$4=3,(D$13+D$14)*H14,"")</f>
      </c>
      <c r="E29" s="48"/>
      <c r="G29" t="s">
        <v>266</v>
      </c>
    </row>
    <row r="30" spans="1:7" ht="12.75">
      <c r="A30" t="s">
        <v>83</v>
      </c>
      <c r="B30" s="286">
        <f>IF(B$4=4,(B$13+B$14)*H15,"")</f>
      </c>
      <c r="C30" s="286">
        <f>IF(C$4=4,(C$13+C$14)*H15,"")</f>
      </c>
      <c r="D30" s="286">
        <f>IF(D$4=4,(D$13+D$14)*H15,"")</f>
      </c>
      <c r="E30" s="48"/>
      <c r="G30" t="s">
        <v>267</v>
      </c>
    </row>
    <row r="31" spans="1:5" ht="12.75">
      <c r="A31" t="s">
        <v>84</v>
      </c>
      <c r="B31" s="286">
        <f>IF(B$4=5,(B$13+B$14)*H16,"")</f>
      </c>
      <c r="C31" s="286">
        <f>IF(C$4=5,(C$13+C$14)*H16,"")</f>
      </c>
      <c r="D31" s="286">
        <f>IF(D$4=5,(D$13+D$14)*H16,"")</f>
      </c>
      <c r="E31" s="48"/>
    </row>
    <row r="32" spans="2:6" ht="13.5" thickBot="1">
      <c r="B32" s="292">
        <f>SUM(B28:B31)</f>
        <v>0</v>
      </c>
      <c r="C32" s="293">
        <f>SUM(C28:C31)</f>
        <v>0</v>
      </c>
      <c r="D32" s="294">
        <f>SUM(D28:D31)</f>
        <v>0</v>
      </c>
      <c r="E32" s="276"/>
      <c r="F32" s="103"/>
    </row>
    <row r="33" spans="1:6" ht="12.75">
      <c r="A33" s="288" t="s">
        <v>236</v>
      </c>
      <c r="B33" s="297">
        <f>IF(Correction!$G$10=2,B32,0)</f>
        <v>0</v>
      </c>
      <c r="C33" s="297">
        <f>IF(Correction!$M$10=2,C32,0)</f>
        <v>0</v>
      </c>
      <c r="D33" s="297">
        <f>IF(Correction!$S$10=2,D32,0)</f>
        <v>0</v>
      </c>
      <c r="E33" s="289">
        <f>SUM(B33:D33)</f>
        <v>0</v>
      </c>
      <c r="F33" s="106"/>
    </row>
    <row r="34" ht="12.75">
      <c r="E34" s="48"/>
    </row>
    <row r="35" spans="1:5" ht="12.75">
      <c r="A35" t="s">
        <v>85</v>
      </c>
      <c r="B35" s="286">
        <f>IF(B$4=2,B$14*I13,"")</f>
      </c>
      <c r="C35" s="286">
        <f>IF(C$4=2,C$14*I13,"")</f>
      </c>
      <c r="D35" s="286">
        <f>IF(D$4=2,D$14*I13,"")</f>
      </c>
      <c r="E35" s="48"/>
    </row>
    <row r="36" spans="1:5" ht="12.75">
      <c r="A36" t="s">
        <v>86</v>
      </c>
      <c r="B36" s="286">
        <f>IF(B$4=3,B$14*I14,"")</f>
      </c>
      <c r="C36" s="286">
        <f>IF(C$4=3,C$14*I14,"")</f>
      </c>
      <c r="D36" s="286">
        <f>IF(D$4=3,D$14*I14,"")</f>
      </c>
      <c r="E36" s="48"/>
    </row>
    <row r="37" spans="1:5" ht="12.75">
      <c r="A37" t="s">
        <v>83</v>
      </c>
      <c r="B37" s="286">
        <f>IF(B$4=4,B$14*I15,"")</f>
      </c>
      <c r="C37" s="286">
        <f>IF(C$4=4,C$14*I15,"")</f>
      </c>
      <c r="D37" s="286">
        <f>IF(D$4=4,D$14*I15,"")</f>
      </c>
      <c r="E37" s="48"/>
    </row>
    <row r="38" spans="1:5" ht="12.75">
      <c r="A38" t="s">
        <v>84</v>
      </c>
      <c r="B38" s="286">
        <f>IF(B$4=5,B$14*I16,"")</f>
      </c>
      <c r="C38" s="286">
        <f>IF(C$4=5,C$14*I16,"")</f>
      </c>
      <c r="D38" s="286">
        <f>IF(D$4=5,D$14*I16,"")</f>
      </c>
      <c r="E38" s="48"/>
    </row>
    <row r="39" spans="2:6" ht="13.5" thickBot="1">
      <c r="B39" s="292">
        <f>SUM(B35:B38)</f>
        <v>0</v>
      </c>
      <c r="C39" s="293">
        <f>SUM(C35:C38)</f>
        <v>0</v>
      </c>
      <c r="D39" s="294">
        <f>SUM(D35:D38)</f>
        <v>0</v>
      </c>
      <c r="E39" s="276"/>
      <c r="F39" s="103"/>
    </row>
    <row r="40" spans="1:6" ht="12.75">
      <c r="A40" s="288" t="s">
        <v>239</v>
      </c>
      <c r="B40" s="295">
        <f>IF(Correction!$G$10=3,B39,0)</f>
        <v>0</v>
      </c>
      <c r="C40" s="295">
        <f>IF(Correction!$M$10=3,C39,0)</f>
        <v>0</v>
      </c>
      <c r="D40" s="295">
        <f>IF(Correction!$S$10=3,D39,0)</f>
        <v>0</v>
      </c>
      <c r="E40" s="289">
        <f>SUM(B40:D40)</f>
        <v>0</v>
      </c>
      <c r="F40" s="106"/>
    </row>
    <row r="41" ht="12.75">
      <c r="E41" s="48"/>
    </row>
    <row r="42" spans="1:5" ht="12.75">
      <c r="A42" t="s">
        <v>85</v>
      </c>
      <c r="B42" s="286">
        <f>IF(B$4=2,B$14*J13,"")</f>
      </c>
      <c r="C42" s="286">
        <f>IF(C$4=2,C$14*J13,"")</f>
      </c>
      <c r="D42" s="286">
        <f>IF(D$4=2,D$14*J13,"")</f>
      </c>
      <c r="E42" s="48"/>
    </row>
    <row r="43" spans="1:5" ht="12.75">
      <c r="A43" t="s">
        <v>86</v>
      </c>
      <c r="B43" s="286">
        <f>IF(B$4=3,B$14*J14,"")</f>
      </c>
      <c r="C43" s="286">
        <f>IF(C$4=3,C$14*J14,"")</f>
      </c>
      <c r="D43" s="286">
        <f>IF(D$4=3,D$14*J14,"")</f>
      </c>
      <c r="E43" s="48"/>
    </row>
    <row r="44" spans="1:5" ht="12.75">
      <c r="A44" t="s">
        <v>83</v>
      </c>
      <c r="B44" s="286">
        <f>IF(B$4=4,B$14*J15,"")</f>
      </c>
      <c r="C44" s="286">
        <f>IF(C$4=4,C$14*J15,"")</f>
      </c>
      <c r="D44" s="286">
        <f>IF(D$4=4,D$14*J15,"")</f>
      </c>
      <c r="E44" s="48"/>
    </row>
    <row r="45" spans="1:5" ht="12.75">
      <c r="A45" t="s">
        <v>84</v>
      </c>
      <c r="B45" s="286">
        <f>IF(B$4=5,B$14*J16,"")</f>
      </c>
      <c r="C45" s="286">
        <f>IF(C$4=5,C$14*J16,"")</f>
      </c>
      <c r="D45" s="286">
        <f>IF(D$4=5,D$14*J16,"")</f>
      </c>
      <c r="E45" s="48"/>
    </row>
    <row r="46" spans="2:6" ht="13.5" thickBot="1">
      <c r="B46" s="292">
        <f>SUM(B42:B45)</f>
        <v>0</v>
      </c>
      <c r="C46" s="293">
        <f>SUM(C42:C45)</f>
        <v>0</v>
      </c>
      <c r="D46" s="294">
        <f>SUM(D42:D45)</f>
        <v>0</v>
      </c>
      <c r="E46" s="276"/>
      <c r="F46" s="103"/>
    </row>
    <row r="47" spans="1:6" ht="12.75">
      <c r="A47" s="288" t="s">
        <v>237</v>
      </c>
      <c r="B47" s="295">
        <f>IF(Correction!$G$10=4,B46,0)</f>
        <v>0</v>
      </c>
      <c r="C47" s="295">
        <f>IF(Correction!$M$10=4,C46,0)</f>
        <v>0</v>
      </c>
      <c r="D47" s="295">
        <f>IF(Correction!$S$10=4,D46,0)</f>
        <v>0</v>
      </c>
      <c r="E47" s="289">
        <f>SUM(B47:D47)</f>
        <v>0</v>
      </c>
      <c r="F47" s="106"/>
    </row>
    <row r="48" ht="12.75">
      <c r="E48" s="48"/>
    </row>
    <row r="49" spans="1:7" ht="12.75">
      <c r="A49" t="s">
        <v>85</v>
      </c>
      <c r="B49" s="286">
        <f>IF(B$4=2,B$16*K13,"")</f>
      </c>
      <c r="C49" s="286">
        <f>IF(C$4=2,C$16*K13,"")</f>
      </c>
      <c r="D49" s="286">
        <f>IF(D$4=2,D$16*K13,"")</f>
      </c>
      <c r="E49" s="48"/>
      <c r="G49" t="s">
        <v>268</v>
      </c>
    </row>
    <row r="50" spans="1:7" ht="12.75">
      <c r="A50" t="s">
        <v>86</v>
      </c>
      <c r="B50" s="286">
        <f>IF(B$4=3,B$16*K14,"")</f>
      </c>
      <c r="C50" s="286">
        <f>IF(C$4=3,C$16*K14,"")</f>
      </c>
      <c r="D50" s="286">
        <f>IF(D$4=3,D$16*K14,"")</f>
      </c>
      <c r="E50" s="48"/>
      <c r="G50" t="s">
        <v>483</v>
      </c>
    </row>
    <row r="51" spans="1:7" ht="12.75">
      <c r="A51" t="s">
        <v>83</v>
      </c>
      <c r="B51" s="286">
        <f>IF(B$4=4,B$16*K15,"")</f>
      </c>
      <c r="C51" s="286">
        <f>IF(C$4=4,C$16*K15,"")</f>
      </c>
      <c r="D51" s="286">
        <f>IF(D$4=4,D$16*K15,"")</f>
      </c>
      <c r="E51" s="48"/>
      <c r="G51" t="s">
        <v>484</v>
      </c>
    </row>
    <row r="52" spans="1:5" ht="12.75">
      <c r="A52" t="s">
        <v>84</v>
      </c>
      <c r="B52" s="286">
        <f>IF(B$4=5,B$16*K16,"")</f>
      </c>
      <c r="C52" s="286">
        <f>IF(C$4=5,C$16*K16,"")</f>
      </c>
      <c r="D52" s="286">
        <f>IF(D$4=5,D$16*K16,"")</f>
      </c>
      <c r="E52" s="48"/>
    </row>
    <row r="53" spans="2:6" ht="13.5" thickBot="1">
      <c r="B53" s="292">
        <f>SUM(B49:B52)</f>
        <v>0</v>
      </c>
      <c r="C53" s="293">
        <f>SUM(C49:C52)</f>
        <v>0</v>
      </c>
      <c r="D53" s="294">
        <f>SUM(D49:D52)</f>
        <v>0</v>
      </c>
      <c r="E53" s="276"/>
      <c r="F53" s="103"/>
    </row>
    <row r="54" spans="1:6" ht="12.75">
      <c r="A54" s="288" t="s">
        <v>238</v>
      </c>
      <c r="B54" s="295">
        <f>IF(Correction!$G$10=5,B53,0)</f>
        <v>0</v>
      </c>
      <c r="C54" s="295">
        <f>IF(Correction!$M$10=5,C53,0)</f>
        <v>0</v>
      </c>
      <c r="D54" s="295">
        <f>IF(Correction!$S$10=5,D53,0)</f>
        <v>0</v>
      </c>
      <c r="E54" s="289">
        <f>SUM(B54:D54)</f>
        <v>0</v>
      </c>
      <c r="F54" s="106"/>
    </row>
    <row r="55" spans="2:6" ht="12.75">
      <c r="B55" s="112"/>
      <c r="C55" s="112"/>
      <c r="D55" s="112"/>
      <c r="E55" s="49"/>
      <c r="F55" s="106"/>
    </row>
    <row r="56" spans="1:7" ht="12.75">
      <c r="A56" s="111" t="s">
        <v>251</v>
      </c>
      <c r="B56" s="104">
        <f>IF(B54=0,0,-B18)</f>
        <v>0</v>
      </c>
      <c r="C56" s="104">
        <f>IF(C54=0,0,-C18)</f>
        <v>0</v>
      </c>
      <c r="D56" s="104">
        <f>IF(D54=0,0,-D18)</f>
        <v>0</v>
      </c>
      <c r="E56" s="128">
        <f>SUM(B56:D56)</f>
        <v>0</v>
      </c>
      <c r="F56" s="106"/>
      <c r="G56" t="s">
        <v>482</v>
      </c>
    </row>
    <row r="57" ht="12.75">
      <c r="E57" s="48"/>
    </row>
    <row r="58" spans="1:6" ht="12.75">
      <c r="A58" t="s">
        <v>106</v>
      </c>
      <c r="E58" s="289">
        <f>SUM(E18:E56)</f>
        <v>0</v>
      </c>
      <c r="F58" s="109"/>
    </row>
    <row r="59" spans="1:7" ht="12.75">
      <c r="A59" s="298" t="s">
        <v>485</v>
      </c>
      <c r="B59" s="299">
        <f>IF(AND(B4&gt;1,Correction!H34=TRUE),0,0)</f>
        <v>0</v>
      </c>
      <c r="C59" s="299">
        <f>IF(AND(C4&gt;1,Correction!N34=TRUE),0,0)</f>
        <v>0</v>
      </c>
      <c r="D59" s="299">
        <f>IF(AND(D4&gt;1,Correction!T34=TRUE),0,0)</f>
        <v>0</v>
      </c>
      <c r="E59" s="300">
        <f>IF(OR(Correction!H34,Correction!N34,Correction!T34),0,0)</f>
        <v>0</v>
      </c>
      <c r="F59" s="110"/>
      <c r="G59" s="298" t="s">
        <v>486</v>
      </c>
    </row>
    <row r="60" spans="1:6" ht="12.75">
      <c r="A60" t="s">
        <v>106</v>
      </c>
      <c r="E60" s="108">
        <f>SUM(E58:E59)</f>
        <v>0</v>
      </c>
      <c r="F60" s="108"/>
    </row>
    <row r="61" spans="2:6" ht="12.75">
      <c r="B61" s="65" t="s">
        <v>264</v>
      </c>
      <c r="C61" s="127">
        <v>0.95</v>
      </c>
      <c r="D61" s="127">
        <v>1.1</v>
      </c>
      <c r="E61" s="276"/>
      <c r="F61" s="103"/>
    </row>
    <row r="62" ht="12.75">
      <c r="E62" s="48"/>
    </row>
    <row r="63" spans="1:6" ht="12.75">
      <c r="A63" s="65" t="s">
        <v>262</v>
      </c>
      <c r="B63" s="65" t="s">
        <v>249</v>
      </c>
      <c r="C63" s="129">
        <f>E60*C61</f>
        <v>0</v>
      </c>
      <c r="D63" s="85" t="s">
        <v>250</v>
      </c>
      <c r="E63" s="129">
        <f>E60*D61</f>
        <v>0</v>
      </c>
      <c r="F63" s="108"/>
    </row>
    <row r="64" ht="12.75">
      <c r="E64" s="48"/>
    </row>
    <row r="65" spans="1:5" ht="12.75">
      <c r="A65" t="s">
        <v>472</v>
      </c>
      <c r="E65" s="48">
        <f>E18</f>
        <v>0</v>
      </c>
    </row>
    <row r="66" spans="1:5" ht="12.75">
      <c r="A66" t="s">
        <v>471</v>
      </c>
      <c r="E66" s="48">
        <f>E25</f>
        <v>0</v>
      </c>
    </row>
    <row r="67" spans="1:5" ht="12.75">
      <c r="A67" t="s">
        <v>300</v>
      </c>
      <c r="E67" s="48">
        <f>SUM(E33:E54)</f>
        <v>0</v>
      </c>
    </row>
  </sheetData>
  <sheetProtection/>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Lafont Audio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Devis étude</dc:title>
  <dc:subject/>
  <dc:creator>Jean-Pierre Lafont</dc:creator>
  <cp:keywords/>
  <dc:description/>
  <cp:lastModifiedBy>Jean-Pierre</cp:lastModifiedBy>
  <cp:lastPrinted>2014-07-29T06:51:05Z</cp:lastPrinted>
  <dcterms:created xsi:type="dcterms:W3CDTF">2005-06-21T04:52:29Z</dcterms:created>
  <dcterms:modified xsi:type="dcterms:W3CDTF">2017-10-18T17:43:45Z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